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195" windowHeight="113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8" i="1" l="1"/>
  <c r="J8" i="1" s="1"/>
  <c r="B7" i="1"/>
  <c r="J7" i="1" s="1"/>
  <c r="B6" i="1"/>
  <c r="J6" i="1" s="1"/>
  <c r="B5" i="1"/>
  <c r="J5" i="1" s="1"/>
  <c r="B4" i="1"/>
  <c r="J4" i="1"/>
  <c r="I8" i="1" l="1"/>
  <c r="I7" i="1"/>
  <c r="I6" i="1"/>
  <c r="I5" i="1"/>
  <c r="I4" i="1"/>
  <c r="N7" i="1" l="1"/>
  <c r="M7" i="1"/>
  <c r="O7" i="1" s="1"/>
  <c r="N4" i="1"/>
  <c r="M4" i="1"/>
  <c r="O4" i="1" s="1"/>
  <c r="P4" i="1" s="1"/>
  <c r="M5" i="1"/>
  <c r="O5" i="1" s="1"/>
  <c r="N5" i="1"/>
  <c r="N8" i="1"/>
  <c r="M8" i="1"/>
  <c r="O8" i="1" s="1"/>
  <c r="M6" i="1"/>
  <c r="O6" i="1" s="1"/>
  <c r="N6" i="1"/>
  <c r="K7" i="1"/>
  <c r="L7" i="1" s="1"/>
  <c r="K5" i="1"/>
  <c r="L5" i="1" s="1"/>
  <c r="K8" i="1"/>
  <c r="L8" i="1" s="1"/>
  <c r="K6" i="1"/>
  <c r="L6" i="1" s="1"/>
  <c r="K4" i="1"/>
  <c r="L4" i="1" s="1"/>
  <c r="P5" i="1" l="1"/>
  <c r="P6" i="1"/>
  <c r="P8" i="1"/>
  <c r="P7" i="1"/>
  <c r="Q8" i="1"/>
  <c r="R8" i="1" s="1"/>
  <c r="Q5" i="1"/>
  <c r="R5" i="1" s="1"/>
  <c r="Q6" i="1"/>
  <c r="R6" i="1" s="1"/>
  <c r="Q7" i="1"/>
  <c r="R7" i="1" s="1"/>
  <c r="Q4" i="1"/>
  <c r="R4" i="1" s="1"/>
</calcChain>
</file>

<file path=xl/sharedStrings.xml><?xml version="1.0" encoding="utf-8"?>
<sst xmlns="http://schemas.openxmlformats.org/spreadsheetml/2006/main" count="21" uniqueCount="21">
  <si>
    <t>spoke count</t>
  </si>
  <si>
    <t>Effective spoking radius, mm</t>
  </si>
  <si>
    <t>hub radius, mm</t>
  </si>
  <si>
    <t>rim radius, mm</t>
  </si>
  <si>
    <t>cross angle, deg.</t>
  </si>
  <si>
    <t xml:space="preserve">spoke length triang-ulated </t>
  </si>
  <si>
    <t xml:space="preserve">CL projec-tion of spoke length </t>
  </si>
  <si>
    <t xml:space="preserve">spoke length </t>
  </si>
  <si>
    <t>flange spacing from CL</t>
  </si>
  <si>
    <t xml:space="preserve"> spoke hole diam., mm</t>
  </si>
  <si>
    <t>cross</t>
  </si>
  <si>
    <t>ESR/ rim diam.</t>
  </si>
  <si>
    <t xml:space="preserve"> hub flange dishing </t>
  </si>
  <si>
    <t>bracing angle</t>
  </si>
  <si>
    <t>Blue cells: output</t>
  </si>
  <si>
    <t>A simple spoke calculator with special outputs</t>
  </si>
  <si>
    <t>nipple angle</t>
  </si>
  <si>
    <t>ERD., mm</t>
  </si>
  <si>
    <t>hub spoking diam., mm</t>
  </si>
  <si>
    <t>Yellow cells: input</t>
  </si>
  <si>
    <t>hub angle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</si>
</sst>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°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0" fontId="0" fillId="2" borderId="0" xfId="0" applyFill="1"/>
    <xf numFmtId="164" fontId="0" fillId="3" borderId="0" xfId="0" applyNumberFormat="1" applyFill="1"/>
    <xf numFmtId="2" fontId="0" fillId="0" borderId="0" xfId="0" applyNumberFormat="1" applyAlignment="1">
      <alignment wrapText="1"/>
    </xf>
    <xf numFmtId="2" fontId="0" fillId="3" borderId="0" xfId="0" applyNumberFormat="1" applyFill="1"/>
    <xf numFmtId="2" fontId="0" fillId="0" borderId="0" xfId="0" applyNumberFormat="1"/>
    <xf numFmtId="165" fontId="0" fillId="3" borderId="0" xfId="0" applyNumberFormat="1" applyFill="1"/>
    <xf numFmtId="165" fontId="0" fillId="4" borderId="0" xfId="0" applyNumberFormat="1" applyFill="1"/>
    <xf numFmtId="0" fontId="0" fillId="2" borderId="0" xfId="0" applyFill="1" applyAlignment="1"/>
    <xf numFmtId="0" fontId="0" fillId="0" borderId="0" xfId="0" applyAlignment="1"/>
    <xf numFmtId="164" fontId="0" fillId="3" borderId="0" xfId="0" applyNumberForma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tabSelected="1" workbookViewId="0">
      <selection activeCell="I22" sqref="I22"/>
    </sheetView>
  </sheetViews>
  <sheetFormatPr defaultRowHeight="15" x14ac:dyDescent="0.25"/>
  <cols>
    <col min="1" max="1" width="6.42578125" customWidth="1"/>
    <col min="2" max="2" width="6.85546875" hidden="1" customWidth="1"/>
    <col min="3" max="3" width="6.28515625" customWidth="1"/>
    <col min="4" max="4" width="7.42578125" hidden="1" customWidth="1"/>
    <col min="5" max="5" width="7.28515625" customWidth="1"/>
    <col min="6" max="6" width="7" customWidth="1"/>
    <col min="7" max="7" width="6.140625" customWidth="1"/>
    <col min="8" max="8" width="5.28515625" customWidth="1"/>
    <col min="9" max="9" width="6.140625" customWidth="1"/>
    <col min="10" max="10" width="9.28515625" style="3" hidden="1" customWidth="1"/>
    <col min="11" max="11" width="7.85546875" style="3" hidden="1" customWidth="1"/>
    <col min="12" max="12" width="6.42578125" style="3" customWidth="1"/>
    <col min="13" max="13" width="6.85546875" style="3" customWidth="1"/>
    <col min="14" max="14" width="7.42578125" style="3" customWidth="1"/>
    <col min="15" max="15" width="8.5703125" style="3" customWidth="1"/>
    <col min="16" max="16" width="6.7109375" style="8" hidden="1" customWidth="1"/>
    <col min="17" max="17" width="7.42578125" style="3" customWidth="1"/>
    <col min="18" max="18" width="8.42578125" style="3" customWidth="1"/>
  </cols>
  <sheetData>
    <row r="1" spans="1:18" x14ac:dyDescent="0.25">
      <c r="A1" t="s">
        <v>15</v>
      </c>
    </row>
    <row r="2" spans="1:18" x14ac:dyDescent="0.25">
      <c r="A2" s="11" t="s">
        <v>19</v>
      </c>
      <c r="B2" s="12"/>
      <c r="C2" s="12"/>
      <c r="D2" s="12"/>
      <c r="E2" s="12"/>
      <c r="F2" s="12"/>
      <c r="L2" s="13" t="s">
        <v>14</v>
      </c>
      <c r="M2" s="12"/>
      <c r="N2" s="12"/>
    </row>
    <row r="3" spans="1:18" s="1" customFormat="1" ht="62.25" customHeight="1" x14ac:dyDescent="0.25">
      <c r="A3" s="1" t="s">
        <v>18</v>
      </c>
      <c r="B3" s="1" t="s">
        <v>2</v>
      </c>
      <c r="C3" s="1" t="s">
        <v>17</v>
      </c>
      <c r="D3" s="1" t="s">
        <v>3</v>
      </c>
      <c r="E3" s="1" t="s">
        <v>8</v>
      </c>
      <c r="F3" s="1" t="s">
        <v>9</v>
      </c>
      <c r="G3" s="1" t="s">
        <v>0</v>
      </c>
      <c r="H3" s="1" t="s">
        <v>10</v>
      </c>
      <c r="I3" s="1" t="s">
        <v>4</v>
      </c>
      <c r="J3" s="2" t="s">
        <v>6</v>
      </c>
      <c r="K3" s="2" t="s">
        <v>5</v>
      </c>
      <c r="L3" s="2" t="s">
        <v>7</v>
      </c>
      <c r="M3" s="2" t="s">
        <v>16</v>
      </c>
      <c r="N3" s="2" t="s">
        <v>20</v>
      </c>
      <c r="O3" s="2" t="s">
        <v>1</v>
      </c>
      <c r="P3" s="6" t="s">
        <v>11</v>
      </c>
      <c r="Q3" s="2" t="s">
        <v>13</v>
      </c>
      <c r="R3" s="2" t="s">
        <v>12</v>
      </c>
    </row>
    <row r="4" spans="1:18" x14ac:dyDescent="0.25">
      <c r="A4" s="4">
        <v>50</v>
      </c>
      <c r="B4" s="4">
        <f>A4/2</f>
        <v>25</v>
      </c>
      <c r="C4" s="4">
        <v>600</v>
      </c>
      <c r="D4" s="4">
        <v>300</v>
      </c>
      <c r="E4" s="4">
        <v>35</v>
      </c>
      <c r="F4" s="4">
        <v>2</v>
      </c>
      <c r="G4" s="4">
        <v>36</v>
      </c>
      <c r="H4" s="4">
        <v>0</v>
      </c>
      <c r="I4" s="10">
        <f>720*H4/G4</f>
        <v>0</v>
      </c>
      <c r="J4" s="3">
        <f>SQRT(B4^2+D4^2-2*B4*D4*COS(RADIANS((I4))))</f>
        <v>275</v>
      </c>
      <c r="K4" s="3">
        <f>SQRT(J4^2+E4^2)</f>
        <v>277.21832551258223</v>
      </c>
      <c r="L4" s="5">
        <f>K4-F4/2</f>
        <v>276.21832551258223</v>
      </c>
      <c r="M4" s="9">
        <f>DEGREES(ASIN(B4*SIN(RADIANS(I4))/J4))</f>
        <v>0</v>
      </c>
      <c r="N4" s="9">
        <f>90-(DEGREES(ASIN(D4*SIN(RADIANS(I4))/J4)))</f>
        <v>90</v>
      </c>
      <c r="O4" s="5">
        <f>D4*SIN(RADIANS(M4))</f>
        <v>0</v>
      </c>
      <c r="P4" s="7">
        <f>O4/D4</f>
        <v>0</v>
      </c>
      <c r="Q4" s="9">
        <f>DEGREES(SIN(E4/K4))</f>
        <v>7.2146346147194143</v>
      </c>
      <c r="R4" s="9">
        <f>DEGREES(RADIANS(Q4)*(1/SIN(RADIANS(N4))))</f>
        <v>7.2146346147194143</v>
      </c>
    </row>
    <row r="5" spans="1:18" x14ac:dyDescent="0.25">
      <c r="A5" s="4">
        <v>50</v>
      </c>
      <c r="B5" s="4">
        <f t="shared" ref="B5:B8" si="0">A5/2</f>
        <v>25</v>
      </c>
      <c r="C5" s="4">
        <v>600</v>
      </c>
      <c r="D5" s="4">
        <v>300</v>
      </c>
      <c r="E5" s="4">
        <v>35</v>
      </c>
      <c r="F5" s="4">
        <v>2</v>
      </c>
      <c r="G5" s="4">
        <v>36</v>
      </c>
      <c r="H5" s="4">
        <v>1</v>
      </c>
      <c r="I5" s="10">
        <f t="shared" ref="I5:I8" si="1">720*H5/G5</f>
        <v>20</v>
      </c>
      <c r="J5" s="3">
        <f>SQRT(B5^2+D5^2-2*B5*D5*COS(RADIANS((I5))))</f>
        <v>276.63985737454999</v>
      </c>
      <c r="K5" s="3">
        <f>SQRT(J5^2+E5^2)</f>
        <v>278.84513746560361</v>
      </c>
      <c r="L5" s="5">
        <f t="shared" ref="L5:L8" si="2">K5-F5/2</f>
        <v>277.84513746560361</v>
      </c>
      <c r="M5" s="9">
        <f t="shared" ref="M5:M8" si="3">DEGREES(ASIN(B5*SIN(RADIANS(I5))/J5))</f>
        <v>1.7712046638679804</v>
      </c>
      <c r="N5" s="9">
        <f t="shared" ref="N5:N8" si="4">90-(DEGREES(ASIN(D5*SIN(RADIANS(I5))/J5)))</f>
        <v>68.228795336132023</v>
      </c>
      <c r="O5" s="5">
        <f t="shared" ref="O5:O8" si="5">D5*SIN(RADIANS(M5))</f>
        <v>9.272528909200128</v>
      </c>
      <c r="P5" s="7">
        <f t="shared" ref="P5:P8" si="6">O5/D5</f>
        <v>3.0908429697333761E-2</v>
      </c>
      <c r="Q5" s="9">
        <f t="shared" ref="Q5:Q8" si="7">DEGREES(SIN(E5/K5))</f>
        <v>7.1727656050141748</v>
      </c>
      <c r="R5" s="9">
        <f t="shared" ref="R5:R8" si="8">DEGREES(RADIANS(Q5)*(1/SIN(RADIANS(N5))))</f>
        <v>7.7236773669878911</v>
      </c>
    </row>
    <row r="6" spans="1:18" x14ac:dyDescent="0.25">
      <c r="A6" s="4">
        <v>50</v>
      </c>
      <c r="B6" s="4">
        <f t="shared" si="0"/>
        <v>25</v>
      </c>
      <c r="C6" s="4">
        <v>600</v>
      </c>
      <c r="D6" s="4">
        <v>300</v>
      </c>
      <c r="E6" s="4">
        <v>35</v>
      </c>
      <c r="F6" s="4">
        <v>2</v>
      </c>
      <c r="G6" s="4">
        <v>36</v>
      </c>
      <c r="H6" s="4">
        <v>2</v>
      </c>
      <c r="I6" s="10">
        <f t="shared" si="1"/>
        <v>40</v>
      </c>
      <c r="J6" s="3">
        <f>SQRT(B6^2+D6^2-2*B6*D6*COS(RADIANS((I6))))</f>
        <v>281.30825326181832</v>
      </c>
      <c r="K6" s="3">
        <f>SQRT(J6^2+E6^2)</f>
        <v>283.47721840249409</v>
      </c>
      <c r="L6" s="5">
        <f t="shared" si="2"/>
        <v>282.47721840249409</v>
      </c>
      <c r="M6" s="9">
        <f t="shared" si="3"/>
        <v>3.2747952264790943</v>
      </c>
      <c r="N6" s="9">
        <f t="shared" si="4"/>
        <v>46.725204773520908</v>
      </c>
      <c r="O6" s="5">
        <f t="shared" si="5"/>
        <v>17.137453369212544</v>
      </c>
      <c r="P6" s="7">
        <f t="shared" si="6"/>
        <v>5.7124844564041814E-2</v>
      </c>
      <c r="Q6" s="9">
        <f t="shared" si="7"/>
        <v>7.0561621665168168</v>
      </c>
      <c r="R6" s="9">
        <f t="shared" si="8"/>
        <v>9.6915402202756162</v>
      </c>
    </row>
    <row r="7" spans="1:18" x14ac:dyDescent="0.25">
      <c r="A7" s="4">
        <v>50</v>
      </c>
      <c r="B7" s="4">
        <f t="shared" si="0"/>
        <v>25</v>
      </c>
      <c r="C7" s="4">
        <v>600</v>
      </c>
      <c r="D7" s="4">
        <v>300</v>
      </c>
      <c r="E7" s="4">
        <v>35</v>
      </c>
      <c r="F7" s="4">
        <v>2</v>
      </c>
      <c r="G7" s="4">
        <v>36</v>
      </c>
      <c r="H7" s="4">
        <v>3</v>
      </c>
      <c r="I7" s="10">
        <f t="shared" si="1"/>
        <v>60</v>
      </c>
      <c r="J7" s="3">
        <f>SQRT(B7^2+D7^2-2*B7*D7*COS(RADIANS((I7))))</f>
        <v>288.31406486676991</v>
      </c>
      <c r="K7" s="3">
        <f>SQRT(J7^2+E7^2)</f>
        <v>290.43071462915213</v>
      </c>
      <c r="L7" s="5">
        <f t="shared" si="2"/>
        <v>289.43071462915213</v>
      </c>
      <c r="M7" s="9">
        <f t="shared" si="3"/>
        <v>4.3066190955014436</v>
      </c>
      <c r="N7" s="9">
        <f t="shared" si="4"/>
        <v>25.693380904498554</v>
      </c>
      <c r="O7" s="5">
        <f t="shared" si="5"/>
        <v>22.528177844479146</v>
      </c>
      <c r="P7" s="7">
        <f t="shared" si="6"/>
        <v>7.5093926148263823E-2</v>
      </c>
      <c r="Q7" s="9">
        <f t="shared" si="7"/>
        <v>6.8880521584620933</v>
      </c>
      <c r="R7" s="9">
        <f t="shared" si="8"/>
        <v>15.887378534564276</v>
      </c>
    </row>
    <row r="8" spans="1:18" x14ac:dyDescent="0.25">
      <c r="A8" s="4">
        <v>50</v>
      </c>
      <c r="B8" s="4">
        <f t="shared" si="0"/>
        <v>25</v>
      </c>
      <c r="C8" s="4">
        <v>600</v>
      </c>
      <c r="D8" s="4">
        <v>300</v>
      </c>
      <c r="E8" s="4">
        <v>35</v>
      </c>
      <c r="F8" s="4">
        <v>2</v>
      </c>
      <c r="G8" s="4">
        <v>36</v>
      </c>
      <c r="H8" s="4">
        <v>4</v>
      </c>
      <c r="I8" s="10">
        <f t="shared" si="1"/>
        <v>80</v>
      </c>
      <c r="J8" s="3">
        <f>SQRT(B8^2+D8^2-2*B8*D8*COS(RADIANS((I8))))</f>
        <v>296.68211495638906</v>
      </c>
      <c r="K8" s="3">
        <f>SQRT(J8^2+E8^2)</f>
        <v>298.73948071019345</v>
      </c>
      <c r="L8" s="5">
        <f t="shared" si="2"/>
        <v>297.73948071019345</v>
      </c>
      <c r="M8" s="9">
        <f t="shared" si="3"/>
        <v>4.7601699739379546</v>
      </c>
      <c r="N8" s="9">
        <f t="shared" si="4"/>
        <v>5.2398300260621369</v>
      </c>
      <c r="O8" s="5">
        <f t="shared" si="5"/>
        <v>24.895528834548312</v>
      </c>
      <c r="P8" s="7">
        <f t="shared" si="6"/>
        <v>8.2985096115161042E-2</v>
      </c>
      <c r="Q8" s="9">
        <f t="shared" si="7"/>
        <v>6.6973664672231425</v>
      </c>
      <c r="R8" s="9">
        <f t="shared" si="8"/>
        <v>73.335631692850072</v>
      </c>
    </row>
  </sheetData>
  <mergeCells count="2">
    <mergeCell ref="A2:F2"/>
    <mergeCell ref="L2:N2"/>
  </mergeCells>
  <pageMargins left="0.7" right="0.7" top="0.75" bottom="0.75" header="0.3" footer="0.3"/>
  <pageSetup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2016-07-10T23:30:54Z</cp:lastPrinted>
  <dcterms:created xsi:type="dcterms:W3CDTF">2016-07-10T02:24:04Z</dcterms:created>
  <dcterms:modified xsi:type="dcterms:W3CDTF">2016-07-14T03:10:00Z</dcterms:modified>
</cp:coreProperties>
</file>