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085" activeTab="0"/>
  </bookViews>
  <sheets>
    <sheet name="instructions" sheetId="1" r:id="rId1"/>
    <sheet name="calculator" sheetId="2" r:id="rId2"/>
    <sheet name="rims" sheetId="3" r:id="rId3"/>
    <sheet name="hubs" sheetId="4" r:id="rId4"/>
  </sheets>
  <definedNames>
    <definedName name="D">'calculator'!#REF!</definedName>
    <definedName name="data">'hubs'!$A$9:$I$9</definedName>
    <definedName name="fd">'calculator'!#REF!</definedName>
    <definedName name="rd">'calculator'!#REF!</definedName>
    <definedName name="solver_adj" localSheetId="1" hidden="1">'calculator'!$C$24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'calculator'!$E$29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257</definedName>
    <definedName name="TABLE" localSheetId="3">'hubs'!#REF!</definedName>
    <definedName name="TABLE" localSheetId="2">'rims'!$G$582:$G$582</definedName>
    <definedName name="TABLE_2" localSheetId="3">'hubs'!#REF!</definedName>
    <definedName name="TABLE_2" localSheetId="2">'rims'!$G$582:$G$582</definedName>
    <definedName name="TABLE_3" localSheetId="2">'rims'!$G$895:$G$895</definedName>
    <definedName name="TABLE_4" localSheetId="2">'rims'!$G$895:$G$895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-</author>
  </authors>
  <commentList>
    <comment ref="C9" authorId="0">
      <text>
        <r>
          <rPr>
            <sz val="8"/>
            <rFont val="Tahoma"/>
            <family val="0"/>
          </rPr>
          <t>Enter your components' dimensions in this column.</t>
        </r>
      </text>
    </comment>
    <comment ref="C22" authorId="0">
      <text>
        <r>
          <rPr>
            <sz val="8"/>
            <rFont val="Tahoma"/>
            <family val="0"/>
          </rPr>
          <t>Enter your components' dimensions in this column.</t>
        </r>
      </text>
    </comment>
    <comment ref="D22" authorId="1">
      <text>
        <r>
          <rPr>
            <sz val="8"/>
            <rFont val="Tahoma"/>
            <family val="2"/>
          </rPr>
          <t>Spocalc2002.xls continuously re-calculates the correct lengths for the cross numbers indicated in column D.</t>
        </r>
      </text>
    </comment>
    <comment ref="D9" authorId="1">
      <text>
        <r>
          <rPr>
            <sz val="8"/>
            <rFont val="Tahoma"/>
            <family val="2"/>
          </rPr>
          <t>Spocalc2002.xls continuously re-calculates the correct lengths for the cross numbers indicated in column D.</t>
        </r>
      </text>
    </comment>
    <comment ref="L24" authorId="0">
      <text>
        <r>
          <rPr>
            <sz val="8"/>
            <rFont val="Tahoma"/>
            <family val="0"/>
          </rPr>
          <t>Enter your bracing angles in this column.</t>
        </r>
      </text>
    </comment>
  </commentList>
</comments>
</file>

<file path=xl/comments4.xml><?xml version="1.0" encoding="utf-8"?>
<comments xmlns="http://schemas.openxmlformats.org/spreadsheetml/2006/main">
  <authors>
    <author>TREK</author>
    <author>Preferred Customer</author>
    <author>Rinard Damon</author>
  </authors>
  <commentList>
    <comment ref="I99" authorId="0">
      <text>
        <r>
          <rPr>
            <sz val="8"/>
            <rFont val="Tahoma"/>
            <family val="0"/>
          </rPr>
          <t>Change spoke hole diameter to 0 for left lengths.</t>
        </r>
      </text>
    </comment>
    <comment ref="I473" authorId="1">
      <text>
        <r>
          <rPr>
            <b/>
            <sz val="8"/>
            <rFont val="Tahoma"/>
            <family val="0"/>
          </rPr>
          <t xml:space="preserve">Part numbers
</t>
        </r>
        <r>
          <rPr>
            <sz val="8"/>
            <rFont val="Tahoma"/>
            <family val="2"/>
          </rPr>
          <t>AVL
521,621,526,626,531,631</t>
        </r>
        <r>
          <rPr>
            <sz val="8"/>
            <rFont val="Tahoma"/>
            <family val="0"/>
          </rPr>
          <t xml:space="preserve">
</t>
        </r>
      </text>
    </comment>
    <comment ref="I472" authorId="1">
      <text>
        <r>
          <rPr>
            <b/>
            <sz val="8"/>
            <rFont val="Tahoma"/>
            <family val="2"/>
          </rPr>
          <t>Part numbers:</t>
        </r>
        <r>
          <rPr>
            <sz val="8"/>
            <rFont val="Tahoma"/>
            <family val="2"/>
          </rPr>
          <t xml:space="preserve">
AVL 400, 500, 600</t>
        </r>
      </text>
    </comment>
    <comment ref="I471" authorId="1">
      <text>
        <r>
          <rPr>
            <b/>
            <sz val="8"/>
            <rFont val="Tahoma"/>
            <family val="2"/>
          </rPr>
          <t xml:space="preserve">Part numbers (double sided figed gear): </t>
        </r>
        <r>
          <rPr>
            <sz val="8"/>
            <rFont val="Tahoma"/>
            <family val="2"/>
          </rPr>
          <t xml:space="preserve">
AVL 522,622,527,627,532,632.
</t>
        </r>
        <r>
          <rPr>
            <b/>
            <sz val="8"/>
            <rFont val="Tahoma"/>
            <family val="2"/>
          </rPr>
          <t>Fixed/free:</t>
        </r>
        <r>
          <rPr>
            <sz val="8"/>
            <rFont val="Tahoma"/>
            <family val="2"/>
          </rPr>
          <t xml:space="preserve"> AVL 523,623,528,628,533,633</t>
        </r>
      </text>
    </comment>
    <comment ref="E101" authorId="2">
      <text>
        <r>
          <rPr>
            <sz val="8"/>
            <rFont val="Tahoma"/>
            <family val="0"/>
          </rPr>
          <t>center-to-center</t>
        </r>
      </text>
    </comment>
    <comment ref="C101" authorId="2">
      <text>
        <r>
          <rPr>
            <sz val="8"/>
            <rFont val="Tahoma"/>
            <family val="0"/>
          </rPr>
          <t>center-to-center</t>
        </r>
      </text>
    </comment>
    <comment ref="C100" authorId="2">
      <text>
        <r>
          <rPr>
            <sz val="8"/>
            <rFont val="Tahoma"/>
            <family val="0"/>
          </rPr>
          <t>center-to-outside</t>
        </r>
      </text>
    </comment>
    <comment ref="E100" authorId="2">
      <text>
        <r>
          <rPr>
            <sz val="8"/>
            <rFont val="Tahoma"/>
            <family val="0"/>
          </rPr>
          <t>center-to-outside</t>
        </r>
      </text>
    </comment>
    <comment ref="I100" authorId="2">
      <text>
        <r>
          <rPr>
            <sz val="8"/>
            <rFont val="Tahoma"/>
            <family val="0"/>
          </rPr>
          <t>Paired hub spoke holes are 20 degrees apart.</t>
        </r>
      </text>
    </comment>
    <comment ref="I86" authorId="0">
      <text>
        <r>
          <rPr>
            <sz val="8"/>
            <rFont val="Tahoma"/>
            <family val="0"/>
          </rPr>
          <t>Change spoke hole diameter to 0 for left lengths.</t>
        </r>
      </text>
    </comment>
  </commentList>
</comments>
</file>

<file path=xl/sharedStrings.xml><?xml version="1.0" encoding="utf-8"?>
<sst xmlns="http://schemas.openxmlformats.org/spreadsheetml/2006/main" count="4908" uniqueCount="1645">
  <si>
    <t>Rigida TUB 25 (ERD is Rigida's Nipple Seat Dia + 3mm for nipples)</t>
  </si>
  <si>
    <t>Rigida TUB 26 (ERD is Rigida's Nipple Seat Dia + 3mm for nipples)</t>
  </si>
  <si>
    <t>Rigida TUCANA (ERD is Rigida's Nipple Seat Dia + 3mm for nipples)</t>
  </si>
  <si>
    <t>Rigida TURBO (ERD is Rigida's Nipple Seat Dia + 3mm for nipples)</t>
  </si>
  <si>
    <t>Rigida XC 420 (ERD is Rigida's Nipple Seat Dia + 3mm for nipples)</t>
  </si>
  <si>
    <t>Rigida/Weinmann ZAC 19 (ERD is Rigida's Nipple Seat Dia + 3mm for nipples)</t>
  </si>
  <si>
    <t>Bontrager Road PN 244144 tandem low flange by Formula</t>
  </si>
  <si>
    <t>Rigida NOVA R (ERD is Rigida's Nipple Seat Dia + 3mm for nipples)</t>
  </si>
  <si>
    <t>Rigida CHRINA (ERD is Rigida's Nipple Seat Dia + 3mm for nipples)</t>
  </si>
  <si>
    <t>Rigida DP 18 (ERD is Rigida's Nipple Seat Dia + 3mm for nipples)</t>
  </si>
  <si>
    <t>Rigida DPX (ERD is Rigida's Nipple Seat Dia + 3mm for nipples)</t>
  </si>
  <si>
    <t>Rigida EXCEL (ERD is Rigida's Nipple Seat Dia + 3mm for nipples)</t>
  </si>
  <si>
    <t>Rigida NOVA (ERD is Rigida's Nipple Seat Dia + 3mm for nipples)</t>
  </si>
  <si>
    <t>Shimano 105  HB-5501</t>
  </si>
  <si>
    <t>Rigida ORION/MENSA (ERD is Rigida's Nipple Seat Dia + 3mm for nipples)</t>
  </si>
  <si>
    <t>Rigida SHC (ERD is Rigida's Nipple Seat Dia + 3mm for nipples)</t>
  </si>
  <si>
    <t>Velocity Aerohead OC (Off Center)</t>
  </si>
  <si>
    <t>velocity@velocityusa.com</t>
  </si>
  <si>
    <t>Rigida SHP (ERD is Rigida's Nipple Seat Dia + 3mm for nipples)</t>
  </si>
  <si>
    <t>Rigida TUB 25/ TUB 26 (ERD is Rigida's Nipple Seat Dia + 3mm for nipples)</t>
  </si>
  <si>
    <t>Rigida VELA (ERD is Rigida's Nipple Seat Dia + 3mm for nipples)</t>
  </si>
  <si>
    <t>Rigida ZAC 2000 (ERD is Rigida's Nipple Seat Dia + 3mm for nipples)</t>
  </si>
  <si>
    <t>Mavic Xx (ERD is Mavic's Nipple Seat Dia + 3mm for nipples)</t>
  </si>
  <si>
    <t>Mavic Xy (ERD is Mavic's Nipple Seat Dia + 3mm for nipples)</t>
  </si>
  <si>
    <t>Mavic 121 (ERD is Mavic's Nipple Seat Dia + 3mm for nipples)</t>
  </si>
  <si>
    <t>Mavic 217 (ERD is Mavic's Nipple Seat Dia + 3mm for nipples)</t>
  </si>
  <si>
    <t>Mavic 220 (ERD is Mavic's Nipple Seat Dia + 3mm for nipples)</t>
  </si>
  <si>
    <t>Mavic 221 (ERD is Mavic's Nipple Seat Dia + 3mm for nipples)</t>
  </si>
  <si>
    <t>Mavic 238 (ERD is Mavic's Nipple Seat Dia + 3mm for nipples)</t>
  </si>
  <si>
    <t>Mavic CXP12 (ERD is Mavic's Nipple Seat Dia + 3mm for nipples)</t>
  </si>
  <si>
    <t>Mavic CXP14 (ERD is Mavic's Nipple Seat Dia + 3mm for nipples) MEASURE TO BE SURE!!</t>
  </si>
  <si>
    <t>Bontrager ATB PN 220200 Race Disc by Formula</t>
  </si>
  <si>
    <t>Bontrager ATB PN 230516 sealed bearings disc</t>
  </si>
  <si>
    <t>Mavic CXP14 (ERD is Mavic's Nipple Seat Dia + 3mm for nipples)</t>
  </si>
  <si>
    <t>Mavic CXP30 (ERD is Mavic's Nipple Seat Dia + 3mm for nipples)</t>
  </si>
  <si>
    <t>Mavic MA2 (ERD is Mavic's Nipple Seat Dia + 3mm for nipples)</t>
  </si>
  <si>
    <t>Mavic MA40 (ERD is Mavic's Nipple Seat Dia + 3mm for nipples)</t>
  </si>
  <si>
    <t>Mavic Open SUP (ERD is Mavic's Nipple Seat Dia + 3mm for nipples)</t>
  </si>
  <si>
    <t>Shimano Ultegra HB-6500A</t>
  </si>
  <si>
    <t>Mavic Reflex (ERD is Mavic's Nipple Seat Dia + 3mm for nipples)</t>
  </si>
  <si>
    <t>Mavic T217 (ERD is Mavic's Nipple Seat Dia + 3mm for nipples)</t>
  </si>
  <si>
    <t>Mavic T238 (ERD is Mavic's Nipple Seat Dia + 3mm for nipples)</t>
  </si>
  <si>
    <t>Mavic T261 (ERD is Mavic's Nipple Seat Dia + 3mm for nipples)</t>
  </si>
  <si>
    <t>Mavic GP4 new angular (ERD is Mavic's Nipple Seat Dia + 3mm for nipples)</t>
  </si>
  <si>
    <t>Mavic Paris Roubaix SSC (ERD is Mavic's Nipple Seat Dia + 3mm for nipples)</t>
  </si>
  <si>
    <t>Mavic D321 Disc (ERD is Mavic's Nipple Seat Dia + 3mm for nipples)</t>
  </si>
  <si>
    <t>Alex G6000 22mm wide x 29mm deep, 686g</t>
  </si>
  <si>
    <t>Bontrager, PN 231323, Mustang, Front, Tubeless, lightweight extrusion</t>
  </si>
  <si>
    <t>Bontrager, PN 221723, Mustang OSB, Tubeless</t>
  </si>
  <si>
    <t>Shimano Ultegra 9 spd FH-6500</t>
  </si>
  <si>
    <t>Bontrager, PN 231327, Mustang, Disc, Tubeless</t>
  </si>
  <si>
    <t>Mavic D521 (ERD is Mavic's Nipple Seat Dia + 3mm for nipples)</t>
  </si>
  <si>
    <t>Mavic X138 eyelets (ERD is Mavic's Nipple Seat Dia + 3mm for nipples)</t>
  </si>
  <si>
    <t>Mavic X138N no eyelets (ERD is Mavic's Nipple Seat Dia + 3mm for nipples)</t>
  </si>
  <si>
    <t>Mavic X221 eyelets (ERD is Mavic's Nipple Seat Dia + 3mm for nipples)</t>
  </si>
  <si>
    <t>Mavic X221N no eyelets (ERD is Mavic's Nipple Seat Dia + 3mm for nipples)</t>
  </si>
  <si>
    <t>Mavic X222 (ERD is Mavic's Nipple Seat Dia + 3mm for nipples)</t>
  </si>
  <si>
    <t>Mavic X223 Disc (ERD is Mavic's Nipple Seat Dia + 3mm for nipples)</t>
  </si>
  <si>
    <t>Mavic X317 Disc (ERD is Mavic's Nipple Seat Dia + 3mm for nipples)</t>
  </si>
  <si>
    <t>Mavic X517 (ERD is Mavic's Nipple Seat Dia + 3mm for nipples)</t>
  </si>
  <si>
    <t xml:space="preserve">Mavic CXP33 (ERD is Mavic's Nipple Seat Dia + 3mm for nipples) </t>
  </si>
  <si>
    <t>Mavic Open Pro (ERD is Mavic's Nipple Seat Dia + 3mm for nipples)</t>
  </si>
  <si>
    <t>Mavic CXP11 (ERD is Mavic's Nipple Seat Dia + 3mm for nipples)</t>
  </si>
  <si>
    <t>Mavic CXP21 (ERD is Mavic's Nipple Seat Dia + 3mm for nipples)</t>
  </si>
  <si>
    <t>Mavic CXP23 (ERD is Mavic's Nipple Seat Dia + 3mm for nipples)</t>
  </si>
  <si>
    <t>Mavic CXP33 (ERD is Mavic's Nipple Seat Dia + 3mm for nipples)</t>
  </si>
  <si>
    <t>Mavic T138 (ERD is Mavic's Nipple Seat Dia + 3mm for nipples)</t>
  </si>
  <si>
    <t>Mavic T215 (ERD is Mavic's Nipple Seat Dia + 3mm for nipples)</t>
  </si>
  <si>
    <t>Mavic T221 (ERD is Mavic's Nipple Seat Dia + 3mm for nipples)</t>
  </si>
  <si>
    <t>Mavic T223 (ERD is Mavic's Nipple Seat Dia + 3mm for nipples)</t>
  </si>
  <si>
    <t>Ritchey Disc OCR (ERD is Nipple Seat Dia + 3mm for nipples)</t>
  </si>
  <si>
    <t>Ritchey OCR Comp (ERD is Nipple Seat Dia + 3mm for nipples)</t>
  </si>
  <si>
    <t>Ritchey OCR Pro (ERD is Nipple Seat Dia + 3mm for nipples)</t>
  </si>
  <si>
    <t>Ritchey OCR WCS (ERD is Nipple Seat Dia + 3mm for nipples)</t>
  </si>
  <si>
    <t>Ritchey Rock Comp (ERD is Nipple Seat Dia + 3mm for nipples)</t>
  </si>
  <si>
    <t>Ritchey Rock Pro (ERD is Nipple Seat Dia + 3mm for nipples)</t>
  </si>
  <si>
    <t>Ritchey Rock WCS (ERD is Nipple Seat Dia + 3mm for nipples)</t>
  </si>
  <si>
    <t>Chris King cassette MTB</t>
  </si>
  <si>
    <t>Chris King cassette road</t>
  </si>
  <si>
    <t>Chris King Classic 140mm</t>
  </si>
  <si>
    <t>Chris King Classic mountain</t>
  </si>
  <si>
    <t>Chris King Classic road/cross</t>
  </si>
  <si>
    <t>unknown</t>
  </si>
  <si>
    <t>Alesa 913 - MEASURE TO BE SURE!</t>
  </si>
  <si>
    <t>Chris King Rear BMX</t>
  </si>
  <si>
    <t>Chris King Rear DiscGoTech</t>
  </si>
  <si>
    <t>Coda 900 disc</t>
  </si>
  <si>
    <t>Coda Expert non-disc</t>
  </si>
  <si>
    <t>Coda Expert road</t>
  </si>
  <si>
    <t>CORBIN DUPLEX coaster brake hub model 8</t>
  </si>
  <si>
    <t>DT Hugi 240</t>
  </si>
  <si>
    <t>DT Hugi Magura Disc Gustav M</t>
  </si>
  <si>
    <t>DT Hugi Magura Disc Louise</t>
  </si>
  <si>
    <t>DT Hugi MTB</t>
  </si>
  <si>
    <t>DT Hugi road Campagnolo compatible</t>
  </si>
  <si>
    <t>DT Hugi road Shimano compatible</t>
  </si>
  <si>
    <t xml:space="preserve">Hershey Ti </t>
  </si>
  <si>
    <t>Hi-E cassette Hi-Lo flange, custom narrow spacing</t>
  </si>
  <si>
    <t xml:space="preserve">Hugi </t>
  </si>
  <si>
    <t xml:space="preserve">Hugi road </t>
  </si>
  <si>
    <t>Hugi tandem</t>
  </si>
  <si>
    <t>Kingsbery low flange 135mm</t>
  </si>
  <si>
    <t xml:space="preserve">Machine Tech Power Claw </t>
  </si>
  <si>
    <t xml:space="preserve">Mavic 501 </t>
  </si>
  <si>
    <t xml:space="preserve">Mavic 506 </t>
  </si>
  <si>
    <t>Mavic 520 track low flange</t>
  </si>
  <si>
    <t xml:space="preserve">Mavic 531 MTB </t>
  </si>
  <si>
    <t>Mavic 550</t>
  </si>
  <si>
    <t>Mavic 570</t>
  </si>
  <si>
    <t xml:space="preserve">Mavic 571 road </t>
  </si>
  <si>
    <t xml:space="preserve">Mavic 571, 572 </t>
  </si>
  <si>
    <t xml:space="preserve">Mavic 577 MTB </t>
  </si>
  <si>
    <t xml:space="preserve">Nuke Proof Bombshell cassette </t>
  </si>
  <si>
    <t xml:space="preserve">Nuke Proof XT cassette </t>
  </si>
  <si>
    <t xml:space="preserve">Nuke Proof XTR cassette </t>
  </si>
  <si>
    <t>Phil Wood Cassette</t>
  </si>
  <si>
    <t>Phil Wood Hi right hand flange</t>
  </si>
  <si>
    <t xml:space="preserve">Phil Wood Mid </t>
  </si>
  <si>
    <t xml:space="preserve">Phil Wood MTB 6speed </t>
  </si>
  <si>
    <t xml:space="preserve">Phil Wood MTB 7speed </t>
  </si>
  <si>
    <t xml:space="preserve">Phil Wood MTB 8speed </t>
  </si>
  <si>
    <t xml:space="preserve">Phil Wood road 5speed </t>
  </si>
  <si>
    <t xml:space="preserve">Phil Wood road 6speed </t>
  </si>
  <si>
    <t>Bontrager ATB PN 220864 Race Lite by DT, 130mm</t>
  </si>
  <si>
    <t xml:space="preserve">Phil Wood road 7speed </t>
  </si>
  <si>
    <t xml:space="preserve">Phil Wood road 8speed </t>
  </si>
  <si>
    <t>Phil Wood wheelchair</t>
  </si>
  <si>
    <t xml:space="preserve">Pulstar 7-spd 32-hole </t>
  </si>
  <si>
    <t>Pulstar 7-spd 36-hole</t>
  </si>
  <si>
    <t xml:space="preserve">Pulstar 8-spd 32-hole </t>
  </si>
  <si>
    <t>Pulstar 8-spd 36-hole</t>
  </si>
  <si>
    <t>Real rear, not for disc brake</t>
  </si>
  <si>
    <t xml:space="preserve">Ringlé 6-spd MTB </t>
  </si>
  <si>
    <t xml:space="preserve">Ringlé 7-spd MTB </t>
  </si>
  <si>
    <t xml:space="preserve">Ringlé 7-spd road </t>
  </si>
  <si>
    <t xml:space="preserve">Ringlé 8-spd MTB </t>
  </si>
  <si>
    <t xml:space="preserve">Ringlé 8-spd road </t>
  </si>
  <si>
    <t>Bontrager ATB PN 200171 Race by Formula (semi-sealed bearings)</t>
  </si>
  <si>
    <t>www.shimano.com says 26.8; Kent says 36.8</t>
  </si>
  <si>
    <t>Bontrager ATB PN 220196 Race by Formula (sealed bearings)</t>
  </si>
  <si>
    <t xml:space="preserve">Ringlé SuperDuper Eight MTB </t>
  </si>
  <si>
    <t xml:space="preserve">Ringlé SuperEight MTB </t>
  </si>
  <si>
    <t xml:space="preserve">Ringlé SuperEight road </t>
  </si>
  <si>
    <t>Ritchey Z-hub road: Pro</t>
  </si>
  <si>
    <t>Ritchey Z-hub road: WCS</t>
  </si>
  <si>
    <t xml:space="preserve">Sachs 3-speed coaster </t>
  </si>
  <si>
    <t xml:space="preserve">Sachs 3-speed drum brake </t>
  </si>
  <si>
    <t xml:space="preserve">Sachs 3-speed standard </t>
  </si>
  <si>
    <t>Sun CR18, single eyelets</t>
  </si>
  <si>
    <t>www.sunrims.com</t>
  </si>
  <si>
    <t>charlieb@prodigy.net</t>
  </si>
  <si>
    <t>Snow Cat ASYM (44mm wide) http://www.allweathersports.com/winter/snowcats.html</t>
  </si>
  <si>
    <t>Snow Cat SYM (44mm wide) http://www.allweathersports.com/winter/snowcats.html</t>
  </si>
  <si>
    <t>Surly "New" track hub</t>
  </si>
  <si>
    <t>dcg</t>
  </si>
  <si>
    <t>Bontrager PN 220430 Race Lite road</t>
  </si>
  <si>
    <t>Bontrager PN 231265 Race Lite OSB road</t>
  </si>
  <si>
    <t>www.rigida.com/anglais/</t>
  </si>
  <si>
    <t>DGR</t>
  </si>
  <si>
    <t>http://www.chrisking.com/specs/disc_specs.html</t>
  </si>
  <si>
    <t>Chris King Disc Universal 140mm</t>
  </si>
  <si>
    <t>DMR Revolver</t>
  </si>
  <si>
    <t>Scarlett</t>
  </si>
  <si>
    <t>Goldtec Track Hub</t>
  </si>
  <si>
    <t>Chris King Disc Universal 145mm</t>
  </si>
  <si>
    <t>Chris King Disc Universal 135mm</t>
  </si>
  <si>
    <t>Chris King Disc ISO</t>
  </si>
  <si>
    <t>Chris King Disc Universal</t>
  </si>
  <si>
    <t>Chris King Disc Single Speed</t>
  </si>
  <si>
    <t>Chris King Disc 20mm</t>
  </si>
  <si>
    <t>Rolf Vector Pro, Araya rim, including 9mm Greer nipple + 4mm washer</t>
  </si>
  <si>
    <t>Rolf Vector Pro, Araya made. For Greer internal nipples + 4mm washers</t>
  </si>
  <si>
    <t>Rolf Vector Pro, Trek made. For Greer internal nipples, no washers</t>
  </si>
  <si>
    <t>Rigida ZAC 2000+D574</t>
  </si>
  <si>
    <t>16x1.75</t>
  </si>
  <si>
    <t>650A</t>
  </si>
  <si>
    <t>650B</t>
  </si>
  <si>
    <t>400A</t>
  </si>
  <si>
    <t>600A</t>
  </si>
  <si>
    <t>Rolf Sestriere</t>
  </si>
  <si>
    <t>550A</t>
  </si>
  <si>
    <t>Vuelta fax</t>
  </si>
  <si>
    <t>Vuelta Airline 1</t>
  </si>
  <si>
    <t>Vuelta Airline 2 622x13</t>
  </si>
  <si>
    <t>Alex DA22</t>
  </si>
  <si>
    <t>shane.halpin@london-fire.gov.uk</t>
  </si>
  <si>
    <t>Alex DV15</t>
  </si>
  <si>
    <t>Dane Jackson &lt;dane@unixbigots.org&gt;</t>
  </si>
  <si>
    <t>Alex R390 19.6w x 19.1h, double eyelets (MEASURE TO BE SURE!)</t>
  </si>
  <si>
    <t>vheidner@charter.net</t>
  </si>
  <si>
    <t>morgan@hahaha.org</t>
  </si>
  <si>
    <t>FiR Net97 (MEASURE TO BE SURE!)</t>
  </si>
  <si>
    <t>Bruce Lange &lt;brucelange@comcast.net&gt;</t>
  </si>
  <si>
    <t>Mavic A 119</t>
  </si>
  <si>
    <t>http://www.tech-mavic.com/uk/calcul.htm#</t>
  </si>
  <si>
    <t>Mavic A 317 Disc</t>
  </si>
  <si>
    <t>Mavic A 319 D</t>
  </si>
  <si>
    <t>Mavic A 319 D 05</t>
  </si>
  <si>
    <t>Mavic A 719</t>
  </si>
  <si>
    <t>Mavic CXP22N</t>
  </si>
  <si>
    <t>Mavic CXP22S</t>
  </si>
  <si>
    <t>Mavic MA</t>
  </si>
  <si>
    <t>Mavic T224</t>
  </si>
  <si>
    <t>Mavic T520</t>
  </si>
  <si>
    <t>Nisi Mixer</t>
  </si>
  <si>
    <t>Jon Senior &lt;jon@restlesslemon.co.uk&gt;</t>
  </si>
  <si>
    <t>Ritchey Aero Road Comp centered holes (ERD is nipple contact dia + 3mm for nipples)</t>
  </si>
  <si>
    <t>http://www.ritcheylogic.com/trpdfcharts/rims.pdf</t>
  </si>
  <si>
    <t>Ritchey Aero Road Comp OCR (ERD is nipple contact dia + 3mm for nipples)</t>
  </si>
  <si>
    <t>Ritchey Trekking Comp</t>
  </si>
  <si>
    <t>Ritchey Trekking Comp OCR</t>
  </si>
  <si>
    <t>Alex DX32</t>
  </si>
  <si>
    <t>Arseniy Vasilyev &lt;Trailmax@yandex.ru&gt;</t>
  </si>
  <si>
    <t>Mavic 217D</t>
  </si>
  <si>
    <t>Mavic 238N</t>
  </si>
  <si>
    <t>Mavic D3.1</t>
  </si>
  <si>
    <t>Mavic EX 325 Disc</t>
  </si>
  <si>
    <t>Mavic EX 721</t>
  </si>
  <si>
    <t>Mavic EX 729 Disc</t>
  </si>
  <si>
    <t>Mavic EX 823 Disc</t>
  </si>
  <si>
    <t>Mavic EX 823 Disc 05</t>
  </si>
  <si>
    <t>Mavic F 219 Disc</t>
  </si>
  <si>
    <t>Mavic X139N no eyelets</t>
  </si>
  <si>
    <t>Mavic X225</t>
  </si>
  <si>
    <t>Mavic X3.1</t>
  </si>
  <si>
    <t>Mavic X3.1 Disc</t>
  </si>
  <si>
    <t>Mavic X618</t>
  </si>
  <si>
    <t>Mavic XC 317 Disc</t>
  </si>
  <si>
    <t>Mavic XC717</t>
  </si>
  <si>
    <t>Mavic XC 717 Disc</t>
  </si>
  <si>
    <t>Mavic XM 117</t>
  </si>
  <si>
    <t>Mavic XM 117 Disc</t>
  </si>
  <si>
    <t>Mavic XM 317 Disc</t>
  </si>
  <si>
    <t>Mavic XM 321 Disc</t>
  </si>
  <si>
    <t>Mavic XM 517</t>
  </si>
  <si>
    <t>Mavic XM 719</t>
  </si>
  <si>
    <t>Mavic XM 819</t>
  </si>
  <si>
    <t>Mavic XM 819 Disc</t>
  </si>
  <si>
    <t>Mavic XY</t>
  </si>
  <si>
    <t>Mavic XZ</t>
  </si>
  <si>
    <t>Sun Rhyno Lite (MEAURE TO BE SURE!)</t>
  </si>
  <si>
    <t>Robert Perkins &lt;rperkins1@nc.rr.com&gt;</t>
  </si>
  <si>
    <t xml:space="preserve">Weinmann Zac19 </t>
  </si>
  <si>
    <t>Alesa Alloy 219 Brompton standard rim</t>
  </si>
  <si>
    <t>Wolf, Michael &lt;m.wolf@waterman-group.co.uk&gt;</t>
  </si>
  <si>
    <t>Alex DM24</t>
  </si>
  <si>
    <t>Brian McDaniel &lt;bambooland@earthlink.net&gt;</t>
  </si>
  <si>
    <t>BikeE 16 hole disc hub</t>
  </si>
  <si>
    <t>Bontrager ATB PN 240141 Disc, Team</t>
  </si>
  <si>
    <t>Bontrager ATB PN 240175 Disc, Team</t>
  </si>
  <si>
    <t>Bontrager Road PN 240097,8 proto</t>
  </si>
  <si>
    <t>http://www.chrisking.com/specs/hubs_all.html</t>
  </si>
  <si>
    <t>Maverick American hub</t>
  </si>
  <si>
    <t>http://www.maverickamerican.com/pdfs/maverick_hub_specs.pdf</t>
  </si>
  <si>
    <t>Shimano Nexus Inter-8 8-speed internal SG-8R20</t>
  </si>
  <si>
    <t>SR sealed bearing</t>
  </si>
  <si>
    <t>http://www.surlybikes.com/spew8.html</t>
  </si>
  <si>
    <t>Surly "New" single speed MTB hub</t>
  </si>
  <si>
    <t>Surly "New" disc</t>
  </si>
  <si>
    <t>Suzue Sil-SP</t>
  </si>
  <si>
    <t>Vuelta Stylus 622x13</t>
  </si>
  <si>
    <t>Vuelta Excalibur DiscDH 559x27</t>
  </si>
  <si>
    <t>Vuelta Excalibur DiscFR 559x21</t>
  </si>
  <si>
    <t>Vuelta Excalibur DiscXC 559x21</t>
  </si>
  <si>
    <t>Vuelta Strong, no eyelets</t>
  </si>
  <si>
    <t>Vuelta Vision 559x18</t>
  </si>
  <si>
    <t>LEW Composite</t>
  </si>
  <si>
    <t>www.bicycleracewheels.com</t>
  </si>
  <si>
    <t>www.lew-usa.com</t>
  </si>
  <si>
    <t>FiR Alkor</t>
  </si>
  <si>
    <t>Mark Hoskin, FiRUSA@aol.com</t>
  </si>
  <si>
    <t>Southerlands</t>
  </si>
  <si>
    <t>Torelli Master</t>
  </si>
  <si>
    <t>Matrix Aurora</t>
  </si>
  <si>
    <t>Rolf Vector Comp, Trek made</t>
  </si>
  <si>
    <t>Bontrager RaceLite Asym rear</t>
  </si>
  <si>
    <t>Bontrager Mack</t>
  </si>
  <si>
    <t>www.chrisking.com</t>
  </si>
  <si>
    <t>Gipiemme Special (respaced from road to track)</t>
  </si>
  <si>
    <t>Adam at Graber</t>
  </si>
  <si>
    <t>www.truvativ.com</t>
  </si>
  <si>
    <t>www.truvative.com</t>
  </si>
  <si>
    <t>American Classic Speedster, older narrow version</t>
  </si>
  <si>
    <t>www.amclassic.com</t>
  </si>
  <si>
    <t xml:space="preserve">Sachs 3X7 Centera, Quarz </t>
  </si>
  <si>
    <t xml:space="preserve">Sachs 3X7 Original </t>
  </si>
  <si>
    <t xml:space="preserve">Sachs 3X7 Traxx </t>
  </si>
  <si>
    <t xml:space="preserve">Sachs 7 speed cassette </t>
  </si>
  <si>
    <t xml:space="preserve">Sachs 8 speed cassette </t>
  </si>
  <si>
    <t xml:space="preserve">Sachs HT3020 drum brake </t>
  </si>
  <si>
    <t xml:space="preserve">Sachs Orbit Drum 6-speed </t>
  </si>
  <si>
    <t xml:space="preserve">Sachs Orbit Drum 7-speed </t>
  </si>
  <si>
    <t>Bontrager ATB PN 990704 Yellow or red seals</t>
  </si>
  <si>
    <t xml:space="preserve">Sachs Orbit MTB 7-speed </t>
  </si>
  <si>
    <t xml:space="preserve">Sachs Orbit standard 6-speed </t>
  </si>
  <si>
    <t xml:space="preserve">Sachs Pentasport coaster </t>
  </si>
  <si>
    <t xml:space="preserve">Sachs Pentasport drum </t>
  </si>
  <si>
    <t xml:space="preserve">Sachs Pentasport Std. </t>
  </si>
  <si>
    <t xml:space="preserve">Sachs Super 7 coaster </t>
  </si>
  <si>
    <t xml:space="preserve">Sachs Super 7 drum </t>
  </si>
  <si>
    <t xml:space="preserve">Sachs Super 7 standard </t>
  </si>
  <si>
    <t xml:space="preserve">Sachs threaded </t>
  </si>
  <si>
    <t>older</t>
  </si>
  <si>
    <t>Shimano 105SC FH-1055 7S</t>
  </si>
  <si>
    <t>Shimano 200GS FH-HG20-QR</t>
  </si>
  <si>
    <t>Shimano 400CX FH-C040</t>
  </si>
  <si>
    <t>Shimano 600 Ultegra FH-6401 7S</t>
  </si>
  <si>
    <t>Shimano 600 Ultegra FH-6402 8S</t>
  </si>
  <si>
    <t>Shimano 700CX FH-C070</t>
  </si>
  <si>
    <t>Shimano Acera FH-M290</t>
  </si>
  <si>
    <t>Shimano Alivio FH-R050</t>
  </si>
  <si>
    <t>Shimano Altus C90 FH-CT90</t>
  </si>
  <si>
    <t>Shimano Deore DX cassette</t>
  </si>
  <si>
    <t xml:space="preserve">Shimano Deore LX &amp; STX-RC. FH-R080 </t>
  </si>
  <si>
    <t>Shimano Deore LX FH-563</t>
  </si>
  <si>
    <t>Shimano Deore LX FH-565</t>
  </si>
  <si>
    <t>Shimano Deore XT FH-M737</t>
  </si>
  <si>
    <t>Shimano Dura-Ace FH-7400 6S</t>
  </si>
  <si>
    <t>Shimano Dura-Ace FH-7400 7S</t>
  </si>
  <si>
    <t>Shimano Dura-Ace FH-7402, 7403 8S</t>
  </si>
  <si>
    <t>Shimano Dura-Ace FH-7700 9S</t>
  </si>
  <si>
    <t>Shimano Exage FH-HG40, FH-HG50</t>
  </si>
  <si>
    <t>Shimano Nexus 4S coaster brake SG-4C30</t>
  </si>
  <si>
    <t>Matrix 750 (22mm w x 20.5mm deep)</t>
  </si>
  <si>
    <t>Bontrager Road PN 220969 RXL Aero. Radial only.</t>
  </si>
  <si>
    <t>Bontrager Road PN 220970 RXL Aero. Use 1.333 cross.</t>
  </si>
  <si>
    <t>Bontrager Road PN 221088 Race Lite Campy. Use  2.25 cross</t>
  </si>
  <si>
    <t>Bontrager Road PN 230851 RXL Aero. Use 1.333 cross.</t>
  </si>
  <si>
    <t>Bontrager PN 231404 Race X-Light Aero aluminum clincher</t>
  </si>
  <si>
    <t>For 16 paired spokes laced 1x, enter 1.275 cross.</t>
  </si>
  <si>
    <r>
      <t xml:space="preserve">If paired hub spoke holes are 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 xml:space="preserve"> degrees apart, then:</t>
    </r>
  </si>
  <si>
    <r>
      <t xml:space="preserve">If paired hub spoke holes are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degrees apart, then:</t>
    </r>
  </si>
  <si>
    <t>Phil Wood track one-sided, small flange</t>
  </si>
  <si>
    <t>Phil Wood track double-sided, small flange</t>
  </si>
  <si>
    <t>Phil Wood track front, small flange</t>
  </si>
  <si>
    <t>Ritchey Aero Road Pro centered holes (ERD is nipple contact dia + 3mm for nipples)</t>
  </si>
  <si>
    <t>Ritchey Aero Road Pro OCR (ERD is nipple contact dia + 3mm for nipples)</t>
  </si>
  <si>
    <t>Ritchey Aero Road WCS centered holes (ERD is nipple contact dia + 3mm for nipples)</t>
  </si>
  <si>
    <t>Formula Engineering SP92, road straight pull spokes.</t>
  </si>
  <si>
    <t>Ritchey Aero Road WCS OCR (ERD is nipple contact dia + 3mm for nipples)</t>
  </si>
  <si>
    <t>Mavic GP4 old rounder</t>
  </si>
  <si>
    <t>Shimano RSX FH-A416</t>
  </si>
  <si>
    <t>Shimano RSX FH-A416, respaced from 130mm to 135</t>
  </si>
  <si>
    <t>Shimano Nexus 4S roller brake SG-4R31</t>
  </si>
  <si>
    <t>Shimano Nexus 7S coaster brake SG-7C21</t>
  </si>
  <si>
    <t>Shimano Nexus 7S roller brake SG-7R40</t>
  </si>
  <si>
    <t>Shimano RSX FH-A410</t>
  </si>
  <si>
    <t>Shimano RX100 FH-A550</t>
  </si>
  <si>
    <t>Shimano Santé</t>
  </si>
  <si>
    <t>Shimano STX FH-MC32</t>
  </si>
  <si>
    <t>Shimano STX FH-R050</t>
  </si>
  <si>
    <t>Shimano STX-RC FH-MC33</t>
  </si>
  <si>
    <t>Shimano Ultegra FH-6500 9S</t>
  </si>
  <si>
    <t>Shimano XTR FH-M950</t>
  </si>
  <si>
    <t>old</t>
  </si>
  <si>
    <t>Araya R-50, classic tub, 415g</t>
  </si>
  <si>
    <t>Araya 16BGOLDNEW track, classic tub, 335g</t>
  </si>
  <si>
    <t>SRAM 5 speed hub MH 5205 w/no brake</t>
  </si>
  <si>
    <t>SRAM 5 speed hub MH 5215 w/coaster brake</t>
  </si>
  <si>
    <t>SRAM 5 speed hub MH 5225 w/drum brake</t>
  </si>
  <si>
    <t>SRAM Neos, Centera</t>
  </si>
  <si>
    <t>SRAM Neos, Centera, Traax</t>
  </si>
  <si>
    <t>SRAM Plasma, Quartz, Neos, Centera</t>
  </si>
  <si>
    <t>SRAM Power Disc: Plasma, Quartz</t>
  </si>
  <si>
    <t>Bontrager PN 220429 Race Lite road OSB</t>
  </si>
  <si>
    <t>SRAM Power Disc: Quartz</t>
  </si>
  <si>
    <t>Shimano 600 Ultegra HB-6400</t>
  </si>
  <si>
    <t>SRAM Quartz, Neos, Centera</t>
  </si>
  <si>
    <t>SRAM Spectro 12 speed hub with coaster brake</t>
  </si>
  <si>
    <t>SRAM Spectro 3 speed hum MH 3115 w/no brake</t>
  </si>
  <si>
    <t>SRAM Spectro 3 speed hum MH 3125 w/coaster brake</t>
  </si>
  <si>
    <t>SRAM Spectro 3 speed hum MH 3125 w/drum brake</t>
  </si>
  <si>
    <t>SRAM Spectro 3x7: 3s hub with 7s cassette</t>
  </si>
  <si>
    <t>SRAM Spectro 7 speed hub MH 7205 w/no brake</t>
  </si>
  <si>
    <t>SRAM Spectro 7 speed hub MH 7215 w/coaster brake</t>
  </si>
  <si>
    <t>SRAM Spectro 7 speed hub MH 7225 w/drum brake</t>
  </si>
  <si>
    <t>SRAM Traax</t>
  </si>
  <si>
    <t xml:space="preserve">Sturmey-Archer 3 spd </t>
  </si>
  <si>
    <t xml:space="preserve">Sturmey-Archer Elite ST drum </t>
  </si>
  <si>
    <t xml:space="preserve">Suntour 7 spd 135mm cass </t>
  </si>
  <si>
    <t xml:space="preserve">Suntour low flange </t>
  </si>
  <si>
    <t xml:space="preserve">Suntour micro drive 7 spd </t>
  </si>
  <si>
    <t xml:space="preserve">Suntour micro drive 8 spd </t>
  </si>
  <si>
    <t>Suntour Sprint low flange</t>
  </si>
  <si>
    <t>Suntour Superbe low flange</t>
  </si>
  <si>
    <t>Suntour Superbe Pro cassette</t>
  </si>
  <si>
    <t>Suntour XC-9000, XCD6000, XCD9000</t>
  </si>
  <si>
    <t>Surly 1x1 single speed</t>
  </si>
  <si>
    <t>Suzue Tandem</t>
  </si>
  <si>
    <t xml:space="preserve">TNT 8-speed </t>
  </si>
  <si>
    <t xml:space="preserve">TNT suspension 8-speed </t>
  </si>
  <si>
    <t>TruVative Sealex SL Disc RH-DISCX-SL-00</t>
  </si>
  <si>
    <t>TruVative Sealex SL RH-SEAL-SL-00</t>
  </si>
  <si>
    <t>TruVative Sealex XR RH-SEAL-XR-00</t>
  </si>
  <si>
    <t>Tune MAG180/200/215  183,205,225gr</t>
  </si>
  <si>
    <t>Tune Power Tap Prologue</t>
  </si>
  <si>
    <t>Bontrager Road PN 240097 RXXXL from DT</t>
  </si>
  <si>
    <t>Bontrager Road PN 240144 RXXXL from DT</t>
  </si>
  <si>
    <t>Ultimate Machine Co., small left flange</t>
  </si>
  <si>
    <t>Ultimate Machine Co., two equal flange diameters</t>
  </si>
  <si>
    <t>Wheelring wheelchair</t>
  </si>
  <si>
    <t xml:space="preserve">Wheelsmith Bullet cass. </t>
  </si>
  <si>
    <t>White Industries cassette</t>
  </si>
  <si>
    <t>Wilderness Trails</t>
  </si>
  <si>
    <t xml:space="preserve">Winners low flange </t>
  </si>
  <si>
    <t xml:space="preserve">WTB classic WTB 7 </t>
  </si>
  <si>
    <t xml:space="preserve">WTB classic WTB 8 </t>
  </si>
  <si>
    <t>Bontrager Road PN 230291 Formula RXL 28H standard spacing</t>
  </si>
  <si>
    <t xml:space="preserve">WTB New Paradigm 7-speed cassette </t>
  </si>
  <si>
    <t xml:space="preserve">WTB New Paradigm 8-speed cassette </t>
  </si>
  <si>
    <t xml:space="preserve">Zipp </t>
  </si>
  <si>
    <t>Zipp 217</t>
  </si>
  <si>
    <t>AC APX</t>
  </si>
  <si>
    <t>Coda disc</t>
  </si>
  <si>
    <t>www.dtswiss.com</t>
  </si>
  <si>
    <t>Coda Moto disc</t>
  </si>
  <si>
    <t>Corratec Jumper</t>
  </si>
  <si>
    <t>Corratec Carbon disc</t>
  </si>
  <si>
    <t>Bontrager Road PN 230849, RXL road</t>
  </si>
  <si>
    <t>Decathlon by DT Swiss</t>
  </si>
  <si>
    <t>Dengler</t>
  </si>
  <si>
    <t>DT Hugi 240 disc</t>
  </si>
  <si>
    <t>DT Hugi FR disc</t>
  </si>
  <si>
    <t>FRM Feather Front</t>
  </si>
  <si>
    <t>www.frmbike.com</t>
  </si>
  <si>
    <t>FRM Team SL Rear</t>
  </si>
  <si>
    <t>FRM Comp &amp; Pro</t>
  </si>
  <si>
    <t>FRM FL Disc Comp &amp; Pro</t>
  </si>
  <si>
    <t>DT Onyx disc</t>
  </si>
  <si>
    <t>DT Cerit</t>
  </si>
  <si>
    <t>DT Hugi 95 MTB</t>
  </si>
  <si>
    <t>DT Hugi 95 road</t>
  </si>
  <si>
    <t>DT Hugi 98</t>
  </si>
  <si>
    <t>DT Hugi Sport</t>
  </si>
  <si>
    <t>DT Hugi Louise 99 disc</t>
  </si>
  <si>
    <t>DT Hugi Gustav M 98 disc</t>
  </si>
  <si>
    <t>DT Hugi Gustav M 98 disc DH</t>
  </si>
  <si>
    <t>Bontrager ATB PN 230515 sealed bearings disc</t>
  </si>
  <si>
    <t>DT Hugi Hayes</t>
  </si>
  <si>
    <t>DT Hugi Hayes DH</t>
  </si>
  <si>
    <t>DT Hugi Formula</t>
  </si>
  <si>
    <t>DT Hugi Tandem</t>
  </si>
  <si>
    <t>DT Hugi Tandem disc</t>
  </si>
  <si>
    <t>Edco</t>
  </si>
  <si>
    <t>Fimoco</t>
  </si>
  <si>
    <t>Formula disc</t>
  </si>
  <si>
    <t>Formula by Edco</t>
  </si>
  <si>
    <t>Formula by DT Swiss</t>
  </si>
  <si>
    <t>Formula DH</t>
  </si>
  <si>
    <t>Giant disc</t>
  </si>
  <si>
    <t>GT</t>
  </si>
  <si>
    <t>Hadley H500 DH</t>
  </si>
  <si>
    <t>Hanebrink LT 8 disc</t>
  </si>
  <si>
    <t>Hayes Superlight disc</t>
  </si>
  <si>
    <t>Hayes Elite disc</t>
  </si>
  <si>
    <t>Hayes Elite disc DH</t>
  </si>
  <si>
    <t>Heylight</t>
  </si>
  <si>
    <t>Heylight Mini</t>
  </si>
  <si>
    <t>Heylight disc</t>
  </si>
  <si>
    <t>Hope disc</t>
  </si>
  <si>
    <t>Hope Ti-Glide disc</t>
  </si>
  <si>
    <t>Hope Bulb</t>
  </si>
  <si>
    <t>Hope Bulb IS2000</t>
  </si>
  <si>
    <t>Hope Big'Un</t>
  </si>
  <si>
    <t>Hope Sport disc</t>
  </si>
  <si>
    <t>Hugi/Union/Marwi Susp.</t>
  </si>
  <si>
    <t>Hugi/Union Std.</t>
  </si>
  <si>
    <t>Inferno disc</t>
  </si>
  <si>
    <t>Magura/SRAM Louise 99 disc</t>
  </si>
  <si>
    <t>Magura Gustav M 99</t>
  </si>
  <si>
    <t>Tension L/R</t>
  </si>
  <si>
    <t>Note:</t>
  </si>
  <si>
    <t>Output</t>
  </si>
  <si>
    <t>Input</t>
  </si>
  <si>
    <t>Tension ratio calc</t>
  </si>
  <si>
    <t>Magura Gustav M 99 DH</t>
  </si>
  <si>
    <t>Magura Fun</t>
  </si>
  <si>
    <t>Magura Comp 2000</t>
  </si>
  <si>
    <t>Magura Comp 2000 DH</t>
  </si>
  <si>
    <t>Magura Pro 2000</t>
  </si>
  <si>
    <t>Magura Gustav M 2000</t>
  </si>
  <si>
    <t>Shimano Dura-Ace re-spaced to track</t>
  </si>
  <si>
    <t>DGR: measured from built wheel</t>
  </si>
  <si>
    <t>DGR "New Dura-Ace" freewheel hub: 1986-ish?</t>
  </si>
  <si>
    <t>Bontrager Road PN 230046 Race Lite. Radial only.</t>
  </si>
  <si>
    <t>Bontrager Road PN 220213 Race Lite. Radial only.</t>
  </si>
  <si>
    <t>Bontrager Power-tap 16H hi/lo proto. Even spacing. Use 1x.</t>
  </si>
  <si>
    <t>Bontrager PN 221065 Race X-Lite OCLV Carbon Aero</t>
  </si>
  <si>
    <t>Cannondale Lefty disc</t>
  </si>
  <si>
    <t>Bontrager PN 221636 Race X-Lite alu OSB</t>
  </si>
  <si>
    <t>Bontrager PN 231573 Race X-Lite alu, new wider rim</t>
  </si>
  <si>
    <t>Bontrager PN 220042 Race X-Lite alu</t>
  </si>
  <si>
    <t>Bontrager PN 231574 Race X-Lite alu OSB, new wider rim</t>
  </si>
  <si>
    <t>Bontrager Power-tap 24H hi/lo proto. Paired. Calc1.25x, build1x.</t>
  </si>
  <si>
    <t>Bontrager Power-tap 16H hi/lo proto. Paired. Calc1.33x, build1x.</t>
  </si>
  <si>
    <t>Bontrager Road PN 230416 Power Tap 16H. Use 1x.</t>
  </si>
  <si>
    <t>Magura Gustav M 2000 DH</t>
  </si>
  <si>
    <t>Manitou through axle, non-disc</t>
  </si>
  <si>
    <t>Marzocchi QR 20</t>
  </si>
  <si>
    <t>Marzocchi QR 20 disc</t>
  </si>
  <si>
    <t>Marzocchi QR 20+ disc</t>
  </si>
  <si>
    <t>Maxx</t>
  </si>
  <si>
    <t>NC 17 disc</t>
  </si>
  <si>
    <t>NC 17 disc DH</t>
  </si>
  <si>
    <t>Nicolai Nucleon NC 17 95mm 20mm through axle</t>
  </si>
  <si>
    <t>Pure Power</t>
  </si>
  <si>
    <t>Ariel</t>
  </si>
  <si>
    <t>Bees</t>
  </si>
  <si>
    <t>Cannondale by DT Swiss</t>
  </si>
  <si>
    <t>Cannondale disc</t>
  </si>
  <si>
    <t>Coda DT Hugi 98 disc</t>
  </si>
  <si>
    <t>Danny's 12mm through axle</t>
  </si>
  <si>
    <t>DT Hugi 240 Campy 9,10s</t>
  </si>
  <si>
    <t>DT Hugi 240 road</t>
  </si>
  <si>
    <t>DT Hugi 240 FR</t>
  </si>
  <si>
    <t xml:space="preserve">Bontrager PN 220421 Race X-Lite road </t>
  </si>
  <si>
    <t>Bontrager RXL Carbon Clincher Front PROTOTYPE</t>
  </si>
  <si>
    <t>DT Hugi 240 FR 12mm through axle</t>
  </si>
  <si>
    <t>DT Swiss Onyx</t>
  </si>
  <si>
    <t>DT Cerit disc</t>
  </si>
  <si>
    <t>DT Hugi 95</t>
  </si>
  <si>
    <t>DT Hugi 98 Campy 9s</t>
  </si>
  <si>
    <t>(Optional) Enter "X, number of cross" by typing in cells C18 &amp; C31. You may enter a decimal value if desired.</t>
  </si>
  <si>
    <t>DT Hugi Louise 99</t>
  </si>
  <si>
    <t>DT Hugi Gustav M 98</t>
  </si>
  <si>
    <t>DT Hugi Hayes disc</t>
  </si>
  <si>
    <t>DT Hugi Formula disc</t>
  </si>
  <si>
    <t>DT Hugi Tandem Arai</t>
  </si>
  <si>
    <t>Formula</t>
  </si>
  <si>
    <t>Goldtec-Ti</t>
  </si>
  <si>
    <t>Hadley Santa Cruz 14mm through axle</t>
  </si>
  <si>
    <t>Hadley 12mm through axle</t>
  </si>
  <si>
    <t>Hadley Arai</t>
  </si>
  <si>
    <t>Magura/SRAM louise 99</t>
  </si>
  <si>
    <t>Miche track</t>
  </si>
  <si>
    <t>Point HR</t>
  </si>
  <si>
    <t>Ringlé Bubba HR freewheel</t>
  </si>
  <si>
    <t>Ringlé Super Bubba</t>
  </si>
  <si>
    <t>Ritchey Pro disc</t>
  </si>
  <si>
    <t>Rohloff Speed Hub 500/14</t>
  </si>
  <si>
    <t>Rollex Freecoaster BMX</t>
  </si>
  <si>
    <t>Roox Jim Bob</t>
  </si>
  <si>
    <t>Rotwild Schweizer Loop Inter-4</t>
  </si>
  <si>
    <t>Sachs Inter 12</t>
  </si>
  <si>
    <t>American Classic CR-350, new 24mm deep model</t>
  </si>
  <si>
    <t>Sachs 3x7 disc/non-disc</t>
  </si>
  <si>
    <t>Sachs Quartz disc</t>
  </si>
  <si>
    <t>Speed Tec</t>
  </si>
  <si>
    <t>Spot single speed</t>
  </si>
  <si>
    <t>SRAM Dual Drive 27/24</t>
  </si>
  <si>
    <t>SRAM Dual Drive 27/24 I-brake</t>
  </si>
  <si>
    <t>SRAM Dual Drive 27/24 disc brake</t>
  </si>
  <si>
    <t>SRAM Sparc</t>
  </si>
  <si>
    <t>Sunn by DT Swiss</t>
  </si>
  <si>
    <t>Tune Kong Louise 99</t>
  </si>
  <si>
    <t>Today is</t>
  </si>
  <si>
    <t>Campagnolo Record, Chorus, Daytona OS</t>
  </si>
  <si>
    <t>Campagnolo Record OS</t>
  </si>
  <si>
    <t>Bontrager Road PN 240036 Team climbing ft hub</t>
  </si>
  <si>
    <t>Campagnolo Chorus, Daytona OS</t>
  </si>
  <si>
    <t>www.campagnolo.com</t>
  </si>
  <si>
    <t>Campagnolo 1980's, 90's Chorus, C-Record, Athena low flange</t>
  </si>
  <si>
    <t>Campagnolo 1999+ Athena, Veloce, Mirage</t>
  </si>
  <si>
    <t>Campagnolo 1999+ Avanti</t>
  </si>
  <si>
    <t>9,10</t>
  </si>
  <si>
    <t>Tune Kong disc</t>
  </si>
  <si>
    <t>White Industries Hayes disc</t>
  </si>
  <si>
    <t>Chris King manual</t>
  </si>
  <si>
    <t>Mavic OEM brochure</t>
  </si>
  <si>
    <t>Martin Staines mstaines@superform-aluminium.com</t>
  </si>
  <si>
    <t xml:space="preserve">Ringlé Super Duper Bubba </t>
  </si>
  <si>
    <t>Ritchey disc Pro Skraxle</t>
  </si>
  <si>
    <t>Roox Jim Bob 99 DH</t>
  </si>
  <si>
    <t>Shogun Little Sumo</t>
  </si>
  <si>
    <t>Shogun Zero Carbon</t>
  </si>
  <si>
    <t>Shimano Nexave</t>
  </si>
  <si>
    <t xml:space="preserve">Shimano Inter-L hub dynamo </t>
  </si>
  <si>
    <t>SON 20-28" hubdynamo-disc brake (2000 model)</t>
  </si>
  <si>
    <t>Specialized Stout</t>
  </si>
  <si>
    <t>Specialized skraxle by DT</t>
  </si>
  <si>
    <t>Specialized Y2K by DT</t>
  </si>
  <si>
    <t>Speed Tec disc</t>
  </si>
  <si>
    <t>Spot Single Speed</t>
  </si>
  <si>
    <t>SRAM 9.0SL disc</t>
  </si>
  <si>
    <t>SRAM 9.0</t>
  </si>
  <si>
    <t>Suntour Microlight</t>
  </si>
  <si>
    <t>DCG</t>
  </si>
  <si>
    <t>Suzue front high flange</t>
  </si>
  <si>
    <t>Syncros Hardcore</t>
  </si>
  <si>
    <t>Tomo</t>
  </si>
  <si>
    <t>Tune MIG 75</t>
  </si>
  <si>
    <t>Tune King Gustav M 99</t>
  </si>
  <si>
    <t>Tune King Louise 99</t>
  </si>
  <si>
    <t>Tune King disc 99 DH</t>
  </si>
  <si>
    <t>Tune King MK disc 99 DH</t>
  </si>
  <si>
    <t>Tune King disc 2000</t>
  </si>
  <si>
    <t>Tune SandWitch</t>
  </si>
  <si>
    <t>Union/Marwi WingIII</t>
  </si>
  <si>
    <t>White Industries disc</t>
  </si>
  <si>
    <t>White Industries Hayes disc DH</t>
  </si>
  <si>
    <t>XS BMX high flange</t>
  </si>
  <si>
    <t>XS BMX</t>
  </si>
  <si>
    <t>M bits</t>
  </si>
  <si>
    <t>There is no program beyond the built-in brains of Excel, just some formulas that</t>
  </si>
  <si>
    <t>automatically work on the numbers you enter to instantly give you the spoke lengths</t>
  </si>
  <si>
    <t>you need.</t>
  </si>
  <si>
    <t>Spocalc.xls contains four Excel worksheets: "instructions" (this sheet), "calculator",</t>
  </si>
  <si>
    <t>Mavic X3.1 UST disc specific. 16 to 18mm nipples required.</t>
  </si>
  <si>
    <t>"hubs" and "rims".  Once you've opened spocalc.xls in Excel, you can look at any worksheet</t>
  </si>
  <si>
    <t>"hubs" and "rims" worksheets.</t>
  </si>
  <si>
    <t>Velocity Fusion (19mm wide x 25mm deep) Measured 596.4. MEASURE TO BE SURE!</t>
  </si>
  <si>
    <t>The "calculator" worksheet is where you enter the rim and hub dimensions and view the</t>
  </si>
  <si>
    <t>results of the calculations. If you click on a cell containing the spoke length, you can</t>
  </si>
  <si>
    <t>Campagnolo Atlanta '96 (about 30mm tall)</t>
  </si>
  <si>
    <t>Campagnolo Delta XL, Omega XL, Lambda, Omicron box (very low profile)</t>
  </si>
  <si>
    <t>Campagnolo Ypsilon "V" profile (about 21mm tall)</t>
  </si>
  <si>
    <t>Campagnolo Lambda "V" profile  (about 21mm tall)</t>
  </si>
  <si>
    <t>Campagnolo Omega "V" profile (about 21mm tall)</t>
  </si>
  <si>
    <t>Campagnolo Omega 19 box style (about 19mm wide)</t>
  </si>
  <si>
    <t>Campagnolo Omega Strada and Strada Hardox box style (about 20mm wide)</t>
  </si>
  <si>
    <t>The "hubs" worksheet is a list of hubs you can choose from, or again, you can measure</t>
  </si>
  <si>
    <t>your own hub and add it to the list if you want.</t>
  </si>
  <si>
    <t>Harris Cyclery High-flange track hub</t>
  </si>
  <si>
    <t>"Sheldon Brown" &lt;CaptBike@sheldonbrown.com&gt;</t>
  </si>
  <si>
    <t>Dunlop Special Lightweight</t>
  </si>
  <si>
    <t>Maillard Professional High Flange</t>
  </si>
  <si>
    <t>Campagnolo Record</t>
  </si>
  <si>
    <t>"L Travers" &lt;lat7575@swbell.net&gt;</t>
  </si>
  <si>
    <t>Enter "N, total number of spokes" by typing the total number into the appropriate cells (C10, C23).</t>
  </si>
  <si>
    <t>The "rims" worksheet is a list of dimensions you can use for rims, or you can measure</t>
  </si>
  <si>
    <t>your own rim and add it to the list if you want.</t>
  </si>
  <si>
    <t>Here's how to use the macros:</t>
  </si>
  <si>
    <t xml:space="preserve">1. Make sure you enable the macros. (Often Excel prompts you to disable them in case </t>
  </si>
  <si>
    <t xml:space="preserve">they harbor a virus.) You can enable the macros when you open the file by clicking on </t>
  </si>
  <si>
    <t>the "Enable Macros" button when Excel asks.</t>
  </si>
  <si>
    <t>2. Click on the "hubs" tab at the bottom of the workbook. Spocalc shows the hubs database.</t>
  </si>
  <si>
    <t>Rolf Vector Carbon, Lew made. For Greer internal nipples + 2.5mm washers</t>
  </si>
  <si>
    <t>Rolf ATB PN 210668 Dolomite disc. Use 2.25 cross.</t>
  </si>
  <si>
    <t>Bontrager PN 221715 Race Lite Tandem</t>
  </si>
  <si>
    <t>Bontrager Road PN 230036 Race Lite Tandem. Use 2.25 cross.</t>
  </si>
  <si>
    <r>
      <t>Select a Rim:</t>
    </r>
    <r>
      <rPr>
        <sz val="10"/>
        <rFont val="Arial"/>
        <family val="0"/>
      </rPr>
      <t xml:space="preserve"> select a cell in this column, then choose "Enter Front Rim Dims" or "Enter Rear Rim Dims"  from the "Tools" menu.</t>
    </r>
  </si>
  <si>
    <t xml:space="preserve">3. Select the name of the front hub you want by clicking on the cell containing the name of </t>
  </si>
  <si>
    <t xml:space="preserve">the hub (in column I, the "Select a Hub" column). </t>
  </si>
  <si>
    <t>4. Click on "Enter Front Hub Dimensions" in the "Tools" menu.</t>
  </si>
  <si>
    <t xml:space="preserve">Of course, if you select a rear hub click on "Enter Rear Hub Dimensions". </t>
  </si>
  <si>
    <t>Same for the rims.</t>
  </si>
  <si>
    <t>Thank you Sheldon Brown, Doug Milliken, Greg Johnson, Larry Friedman, and Clark Rasmussen</t>
  </si>
  <si>
    <t>White Industries LTA cassette</t>
  </si>
  <si>
    <t>cross</t>
  </si>
  <si>
    <t>Bontrager Road PN 220622 Select</t>
  </si>
  <si>
    <t>N, total number of spokes</t>
  </si>
  <si>
    <t>ERD, effective rim diameter</t>
  </si>
  <si>
    <t>S, spoke hole diameter</t>
  </si>
  <si>
    <t>Shimano tandem HB-HF08</t>
  </si>
  <si>
    <t>Shimano tandem FH-FH08</t>
  </si>
  <si>
    <t>Notes:</t>
  </si>
  <si>
    <r>
      <t>ERD</t>
    </r>
    <r>
      <rPr>
        <sz val="10"/>
        <rFont val="Arial"/>
        <family val="2"/>
      </rPr>
      <t xml:space="preserve"> is the Effective Rim Diameter.  </t>
    </r>
  </si>
  <si>
    <r>
      <t>ERD</t>
    </r>
    <r>
      <rPr>
        <sz val="10"/>
        <rFont val="Arial"/>
        <family val="2"/>
      </rPr>
      <t xml:space="preserve"> is measured to the end of the spoke, usually flush with the head of the nipple.</t>
    </r>
  </si>
  <si>
    <r>
      <t>size</t>
    </r>
    <r>
      <rPr>
        <sz val="10"/>
        <rFont val="Arial"/>
        <family val="0"/>
      </rPr>
      <t xml:space="preserve"> is the nominal size of the wheel, and usually does not correspond to any particular dimension.</t>
    </r>
  </si>
  <si>
    <t>WL_effective = W - OSB</t>
  </si>
  <si>
    <t>WR_effective = W + OSB</t>
  </si>
  <si>
    <r>
      <t xml:space="preserve">ISO </t>
    </r>
    <r>
      <rPr>
        <sz val="10"/>
        <rFont val="Arial"/>
        <family val="0"/>
      </rPr>
      <t xml:space="preserve">is the diameter of the bead seat of the rim, in millimeters. </t>
    </r>
  </si>
  <si>
    <t>(See http://www.sheldonbrown.com/tire_sizing.html for more on ISO dimension.)</t>
  </si>
  <si>
    <t>ERD</t>
  </si>
  <si>
    <t>size</t>
  </si>
  <si>
    <t>ISO, mm</t>
  </si>
  <si>
    <t>date</t>
  </si>
  <si>
    <t>700C</t>
  </si>
  <si>
    <t>Shimano Dura-Ace track small flange</t>
  </si>
  <si>
    <t>Ambrosio Aero Elite</t>
  </si>
  <si>
    <t>Ambrosio Elite</t>
  </si>
  <si>
    <t>Shimano Deore LX FH-570</t>
  </si>
  <si>
    <t>Ambrosio Elite City 22</t>
  </si>
  <si>
    <t>Ambrosio Elite Prisma</t>
  </si>
  <si>
    <t>Ambrosio Excellence</t>
  </si>
  <si>
    <t>Ambrosio Super Elite</t>
  </si>
  <si>
    <t>American Classic carbon fiber V rim</t>
  </si>
  <si>
    <t>Araya ADX-1W</t>
  </si>
  <si>
    <t>Araya ADX-2W</t>
  </si>
  <si>
    <t>Araya PX35</t>
  </si>
  <si>
    <t xml:space="preserve">Campagnolo Amber </t>
  </si>
  <si>
    <t>Campagnolo Gamma box</t>
  </si>
  <si>
    <t>Campagnolo Montreal '76, new style (beveled semi-aero)</t>
  </si>
  <si>
    <t xml:space="preserve">Campagnolo Moskva '80 </t>
  </si>
  <si>
    <t xml:space="preserve">Campagnolo Strada </t>
  </si>
  <si>
    <t xml:space="preserve">Campagnolo Tokyo '64 </t>
  </si>
  <si>
    <t xml:space="preserve">Campagnolo Topaz </t>
  </si>
  <si>
    <t xml:space="preserve">Campagnolo XL Strada </t>
  </si>
  <si>
    <t>Campagnolo Ypsilon box</t>
  </si>
  <si>
    <t>Fiamme 80-Elan</t>
  </si>
  <si>
    <t>FiR Antara 2000</t>
  </si>
  <si>
    <t xml:space="preserve">FiR EA10 </t>
  </si>
  <si>
    <t>FiR EA50</t>
  </si>
  <si>
    <t xml:space="preserve">FiR EA60 </t>
  </si>
  <si>
    <t>FiR EA61</t>
  </si>
  <si>
    <t>Alex R390 (19.6mm wide, 19.1mm tall, double eyelets, 480g)</t>
  </si>
  <si>
    <t>"Raul Cabrera" &lt;r-cabrera@tamu.edu&gt;</t>
  </si>
  <si>
    <t xml:space="preserve">FiR EA65 </t>
  </si>
  <si>
    <t>FiR MT 232</t>
  </si>
  <si>
    <t>FiR Net97</t>
  </si>
  <si>
    <t>FiR SC150 actual weight 380gms!</t>
  </si>
  <si>
    <t>www.philwood.com</t>
  </si>
  <si>
    <t>FiR SC170</t>
  </si>
  <si>
    <t>FiR SC200</t>
  </si>
  <si>
    <t>FiR SC350</t>
  </si>
  <si>
    <t>FiR SRG30 (30mm deep aero rim, 500gms)</t>
  </si>
  <si>
    <t>Shimano Alivio FH-MC18AZ</t>
  </si>
  <si>
    <t>Shimano FH-RM40-8</t>
  </si>
  <si>
    <t>Matrix ISO C</t>
  </si>
  <si>
    <r>
      <t>Matrix ISO C</t>
    </r>
    <r>
      <rPr>
        <sz val="10"/>
        <rFont val="Times New Roman"/>
        <family val="1"/>
      </rPr>
      <t>II</t>
    </r>
  </si>
  <si>
    <t>Matrix Titan T (touring)</t>
  </si>
  <si>
    <t xml:space="preserve">Mavic 192 </t>
  </si>
  <si>
    <t>Bontrager Road PN 230037 Race Lite Tandem. Use 2.25 cross.</t>
  </si>
  <si>
    <t>Mavic 195</t>
  </si>
  <si>
    <t xml:space="preserve">Mavic CXP10 </t>
  </si>
  <si>
    <t>Mavic E2</t>
  </si>
  <si>
    <t>Mavic G40</t>
  </si>
  <si>
    <t>Mavic MA3</t>
  </si>
  <si>
    <t>Mavic Mod 3</t>
  </si>
  <si>
    <t>Mavic Mod 3D Argent</t>
  </si>
  <si>
    <t>Mavic Mod 4</t>
  </si>
  <si>
    <t>Mavic Mod 50</t>
  </si>
  <si>
    <t>Mavic Mod E</t>
  </si>
  <si>
    <t xml:space="preserve">Mavic Open 20 </t>
  </si>
  <si>
    <t xml:space="preserve">Mavic Open 20D </t>
  </si>
  <si>
    <t>Mavic T519</t>
  </si>
  <si>
    <t>Nashbar UC13</t>
  </si>
  <si>
    <t xml:space="preserve">Performance C19 </t>
  </si>
  <si>
    <t xml:space="preserve">Performance C19SL </t>
  </si>
  <si>
    <t xml:space="preserve">Rigida 1320 </t>
  </si>
  <si>
    <t>Rigida CHP-6</t>
  </si>
  <si>
    <t>Rigida DP 18</t>
  </si>
  <si>
    <t xml:space="preserve">Rigida HLC2000 </t>
  </si>
  <si>
    <t xml:space="preserve">Rigida Score </t>
  </si>
  <si>
    <t>Ritchey Vantage Comp</t>
  </si>
  <si>
    <t xml:space="preserve">Ritchey Vantage Cross-Sport </t>
  </si>
  <si>
    <t>Sun 0 degree XC</t>
  </si>
  <si>
    <t>Sun Ascent</t>
  </si>
  <si>
    <t xml:space="preserve">Sun AT18 </t>
  </si>
  <si>
    <t>Sun Buzz Clincher (carbon, alu brake track)</t>
  </si>
  <si>
    <t>Sun CR16</t>
  </si>
  <si>
    <t>Sun CR17A</t>
  </si>
  <si>
    <t xml:space="preserve">Sun CR20 </t>
  </si>
  <si>
    <t>Sun CRE16, CRT16II</t>
  </si>
  <si>
    <t>Sun L13</t>
  </si>
  <si>
    <t>Sun L17</t>
  </si>
  <si>
    <t>Sun L18</t>
  </si>
  <si>
    <t>Sun L20</t>
  </si>
  <si>
    <t>Sun L25, M25</t>
  </si>
  <si>
    <t>Sun M13</t>
  </si>
  <si>
    <t>Sun M13II</t>
  </si>
  <si>
    <t xml:space="preserve">Sun M13L </t>
  </si>
  <si>
    <t>Sun M14A</t>
  </si>
  <si>
    <t>Sun M14A (old)</t>
  </si>
  <si>
    <t>Sun M17</t>
  </si>
  <si>
    <t>Sun M20</t>
  </si>
  <si>
    <t xml:space="preserve">Sun M20B </t>
  </si>
  <si>
    <t xml:space="preserve">Sun M25 </t>
  </si>
  <si>
    <t>Sun ME14A</t>
  </si>
  <si>
    <t xml:space="preserve">Sun Rhyno </t>
  </si>
  <si>
    <t>Sun Rhyno Lite (newer version)</t>
  </si>
  <si>
    <t>Sun SST20</t>
  </si>
  <si>
    <t>Sun Venus (medium deep aero)</t>
  </si>
  <si>
    <t>Velocity Aero (20mm wide x 21mm deep)</t>
  </si>
  <si>
    <t>Velocity Aerohead (20mm wide x 19mm deep, 2001)</t>
  </si>
  <si>
    <t>Velocity Aerohead (20mm wide x 21mm deep, 2000 and earlier)</t>
  </si>
  <si>
    <t>Velocity Deep V (19mm wide x 30mm deep)</t>
  </si>
  <si>
    <t>Velocity Dyad (24mm wide x 22mm deep)</t>
  </si>
  <si>
    <t>Velocity Glider (26mm wide x 14mm deep)</t>
  </si>
  <si>
    <t>Velocity Razor (20mm wide x 16mm deep)</t>
  </si>
  <si>
    <t>Velocity Twin Hollow (22mm wide x 14mm deep)</t>
  </si>
  <si>
    <t xml:space="preserve">Weinmann A129 </t>
  </si>
  <si>
    <t xml:space="preserve">Wheelsmith Rimfire </t>
  </si>
  <si>
    <t>Wolber TX Profil aero</t>
  </si>
  <si>
    <t>Wolber/Super Champion Gentleman 81</t>
  </si>
  <si>
    <t>Wolber/Super Champion T430 Alpine</t>
  </si>
  <si>
    <t>Zipp 110 17mm deep box section aluminum clincher</t>
  </si>
  <si>
    <t xml:space="preserve">Zipp 310 30mm deep aluminum clincher </t>
  </si>
  <si>
    <t>tubular</t>
  </si>
  <si>
    <t>Ambrosio aero (with washers)</t>
  </si>
  <si>
    <t>Ambrosio Crono</t>
  </si>
  <si>
    <t>Ambrosio Nemesis</t>
  </si>
  <si>
    <t>Araya ADX-1</t>
  </si>
  <si>
    <t>Araya ADX-2</t>
  </si>
  <si>
    <t xml:space="preserve">Campagnolo Los Angeles '84 </t>
  </si>
  <si>
    <t xml:space="preserve">Campagnolo Seoul '88 </t>
  </si>
  <si>
    <t xml:space="preserve">Campagnolo strada </t>
  </si>
  <si>
    <t xml:space="preserve">Campagnolo V profile </t>
  </si>
  <si>
    <t xml:space="preserve">Matrix Iso </t>
  </si>
  <si>
    <t xml:space="preserve">Mavic Mach 2CD2 </t>
  </si>
  <si>
    <t>Mavic Mach2</t>
  </si>
  <si>
    <t>Mavic Argent 12 SSC</t>
  </si>
  <si>
    <t>Mavic Piste (track)</t>
  </si>
  <si>
    <t>Mavic Reflex -- MEASURE TO BE SURE!!!</t>
  </si>
  <si>
    <t>Bontrager PN 242146 Race X Lite disc</t>
  </si>
  <si>
    <t>Power-tap SL</t>
  </si>
  <si>
    <t>Bontrager Road PN 220212 Race X-Lite.</t>
  </si>
  <si>
    <t>Bontrager Road PN 220271 Race Lite.</t>
  </si>
  <si>
    <t xml:space="preserve">Performance A19T </t>
  </si>
  <si>
    <t>Saavedra aero</t>
  </si>
  <si>
    <t>Sun Buzz Road (carbon, alu brake track)</t>
  </si>
  <si>
    <t>Sun Buzz Special Event (carbon, no brake track)</t>
  </si>
  <si>
    <t>Mavic Cosmic Carbone 2001 blk. STRAIGHT SPOKES</t>
  </si>
  <si>
    <t>Sun M17A (tubular)</t>
  </si>
  <si>
    <t>Sun M19A</t>
  </si>
  <si>
    <r>
      <t>Sun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(632 mm OD)</t>
    </r>
  </si>
  <si>
    <t>Sun M20B</t>
  </si>
  <si>
    <t>Velocity Escape 19mm x 19mm</t>
  </si>
  <si>
    <t>American Classic Ultra-Light, CHECK DIAMETER!</t>
  </si>
  <si>
    <t>OKVELO@aol.com</t>
  </si>
  <si>
    <t>DT Swiss RR 1.1</t>
  </si>
  <si>
    <t>http://www.dtswiss.com</t>
  </si>
  <si>
    <t>dtswiss.com</t>
  </si>
  <si>
    <t>DT Swiss XR 4.1d (disc brakes)</t>
  </si>
  <si>
    <t>DT Swiss XR 4.1 (rim or disc brakes)</t>
  </si>
  <si>
    <t>DT Swiss XR 4.1 ceramic</t>
  </si>
  <si>
    <t>DT Swiss EX 5.1d (disc brakes)</t>
  </si>
  <si>
    <t>DT Swiss FR 6.1d (disc brakes)</t>
  </si>
  <si>
    <t>DT Swiss TK 7.1</t>
  </si>
  <si>
    <t>DT Swiss X 450 MTB non disc</t>
  </si>
  <si>
    <t>DT Swiss X 450 MTB disc</t>
  </si>
  <si>
    <t>DT Swiss E 540 Enduro disc</t>
  </si>
  <si>
    <t>Campagnolo Mexico '68 "V" profile (about 23mm tall)</t>
  </si>
  <si>
    <t>nick@nickpashley.com</t>
  </si>
  <si>
    <t>Shimano XT FH-M760</t>
  </si>
  <si>
    <t>Shimano XT FH-M750</t>
  </si>
  <si>
    <t>Shimano XT HB-M751</t>
  </si>
  <si>
    <t>Shimano XT Disc HB-M765</t>
  </si>
  <si>
    <t>Shimano XT Disc FH-M756</t>
  </si>
  <si>
    <t>Shimano XT HB-M760</t>
  </si>
  <si>
    <t>shimano.com</t>
  </si>
  <si>
    <t>nashbar.com</t>
  </si>
  <si>
    <t>Nashbar Fixed-Fixed Flip-Flop rear hub NF-GHR</t>
  </si>
  <si>
    <t>Nashbar Fixed-Fixed Flip-Flop front hub NF-GHF</t>
  </si>
  <si>
    <t>Kuthan.Kan@egco.com</t>
  </si>
  <si>
    <t xml:space="preserve">Zipp 280 38mm deep carbon tubular </t>
  </si>
  <si>
    <t>Zipp 245 38mm deep carbon tubular</t>
  </si>
  <si>
    <t>Zipp 370 40mm deep carbon/aluminum clincher</t>
  </si>
  <si>
    <t>Zipp 500 58mm deep carbon/aluminum clincher</t>
  </si>
  <si>
    <t>Zipp 415 40mm deep carbon/aluminum clincher</t>
  </si>
  <si>
    <t>Zipp 530 58mm deep carbon/aluminum clincher</t>
  </si>
  <si>
    <t>Zipp 330 58mm deep carbon tubular</t>
  </si>
  <si>
    <t>Zipp 360 58mm deep carbon tubular</t>
  </si>
  <si>
    <t>Zipp 460 58mm deep carbon/aluminum clincher</t>
  </si>
  <si>
    <t>Zipp 505 58mm deep carbon/aluminum clincher</t>
  </si>
  <si>
    <t>Zipp 420 82mm deep carbon tubular</t>
  </si>
  <si>
    <t>Zipp 520 82mm deep carbon/aluminum clincher</t>
  </si>
  <si>
    <t>Ambrosio Evolution</t>
  </si>
  <si>
    <t>David.Kahn@tomy.co.uk</t>
  </si>
  <si>
    <t>info@m-gineering.nl</t>
  </si>
  <si>
    <t>Shimano Ultegra DH-2N70 hub dynamo</t>
  </si>
  <si>
    <t>Shimano Nexus Inter-L HB-NX30 hub dynamo</t>
  </si>
  <si>
    <t>Shimano Nexus Sport DH-3N70 hub dynamo</t>
  </si>
  <si>
    <t>Shimano Nexus Sport DH-3D70 hub dynamo (disc brake)</t>
  </si>
  <si>
    <t>Matrix Aurora OSB (offset spoke bed)</t>
  </si>
  <si>
    <t xml:space="preserve">bontrager.com tech support </t>
  </si>
  <si>
    <t>Salsa Gordo 27mm wide</t>
  </si>
  <si>
    <t>http://www.salsacycles.com/comps_rims.html</t>
  </si>
  <si>
    <t>Salsa Semi 24mm wide</t>
  </si>
  <si>
    <t>Salsa Delgado 22.5mm wide</t>
  </si>
  <si>
    <t>Salsa Delgado Cross 22.5w x 18h</t>
  </si>
  <si>
    <t>Bontrager TubeLess Disc, OSB, SSD=534.5+3mm for eyelettes</t>
  </si>
  <si>
    <t>charlieb@attbi.com</t>
  </si>
  <si>
    <t>Velocity Pro/Elite</t>
  </si>
  <si>
    <t xml:space="preserve">Wolber Aspin </t>
  </si>
  <si>
    <t xml:space="preserve">Wolber Profil 18 </t>
  </si>
  <si>
    <t xml:space="preserve">Wolber Profil 20 </t>
  </si>
  <si>
    <t xml:space="preserve">Wolber Profil A </t>
  </si>
  <si>
    <t>Zipp 140 12mm deep box section aluminum tubular</t>
  </si>
  <si>
    <t>Zipp 340 38mm deep carbon tubular</t>
  </si>
  <si>
    <t>Zipp 440 58mm deep carbon tubular</t>
  </si>
  <si>
    <t>650C</t>
  </si>
  <si>
    <t xml:space="preserve">Campagnolo Montreal '76 </t>
  </si>
  <si>
    <t xml:space="preserve">Campagnolo Omega 19 </t>
  </si>
  <si>
    <t>FiR SRG30 (30mm deep aero rim, 440gms)</t>
  </si>
  <si>
    <t xml:space="preserve">Mavic MA40 </t>
  </si>
  <si>
    <t>Mavic Open 4CD</t>
  </si>
  <si>
    <t>Velocity Aerohead (20mm wide x 21mm deep)</t>
  </si>
  <si>
    <t>Velocity Razor (like Mavic Open Pro)</t>
  </si>
  <si>
    <t xml:space="preserve">Accel </t>
  </si>
  <si>
    <t xml:space="preserve">Mavic CX18 </t>
  </si>
  <si>
    <t xml:space="preserve">Mavic GL330 </t>
  </si>
  <si>
    <t xml:space="preserve">Mavic Mach 2 </t>
  </si>
  <si>
    <t>Sun M17A (582 mm OD)</t>
  </si>
  <si>
    <r>
      <t>Sun M19A,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(582 mm OD)</t>
    </r>
  </si>
  <si>
    <t>Sun M20B (582 mm OD)</t>
  </si>
  <si>
    <t>Zipp 310 38mm deep carbon tubular</t>
  </si>
  <si>
    <t>Zipp 400 58mm deep carbon tubular</t>
  </si>
  <si>
    <t>Mavic Module 3, Module 4 ArgentD</t>
  </si>
  <si>
    <t xml:space="preserve">Wolber M58 </t>
  </si>
  <si>
    <t>500A</t>
  </si>
  <si>
    <t>Weinmann</t>
  </si>
  <si>
    <t>28"</t>
  </si>
  <si>
    <t>Wood, unknown make, vintage 1900 or so.</t>
  </si>
  <si>
    <t>27"</t>
  </si>
  <si>
    <t>Ambrosio Aero Elite (rim washers)</t>
  </si>
  <si>
    <t>Ambrosio Elite (single eyelets)</t>
  </si>
  <si>
    <t>Araya 16A(3)</t>
  </si>
  <si>
    <t xml:space="preserve">Araya ADX-1W </t>
  </si>
  <si>
    <t>Araya SS-45</t>
  </si>
  <si>
    <t>Fiamme 71-Sport</t>
  </si>
  <si>
    <t xml:space="preserve">Matrix Aurora </t>
  </si>
  <si>
    <t>Matrix Titan</t>
  </si>
  <si>
    <t>Mavic E2, G40, Mod E</t>
  </si>
  <si>
    <t xml:space="preserve">Performance TR22 </t>
  </si>
  <si>
    <t xml:space="preserve">Rigida steel Superchromix 1.25 </t>
  </si>
  <si>
    <t>Sun C16</t>
  </si>
  <si>
    <t>Sun D253</t>
  </si>
  <si>
    <t>Sun L17, L20</t>
  </si>
  <si>
    <t>Sun M20A</t>
  </si>
  <si>
    <t>Super Champ Competition</t>
  </si>
  <si>
    <t>Velocity Twin Hollow</t>
  </si>
  <si>
    <t xml:space="preserve">Weinmann 2115 </t>
  </si>
  <si>
    <t xml:space="preserve">Wolber M58, GTA , GTX </t>
  </si>
  <si>
    <t>26x1 3/8</t>
  </si>
  <si>
    <t>Rigida steel 26x1 3/8</t>
  </si>
  <si>
    <t>Weinmann 2120 26x1 3/8</t>
  </si>
  <si>
    <t>26" MTB</t>
  </si>
  <si>
    <t>Araya XA-1</t>
  </si>
  <si>
    <t xml:space="preserve">Avenir Duro 17 </t>
  </si>
  <si>
    <t xml:space="preserve">Bontrager BCX Blue </t>
  </si>
  <si>
    <t>Bontrager BCX Red</t>
  </si>
  <si>
    <t xml:space="preserve">Bontrager BCX1, BCX2, BCX3 </t>
  </si>
  <si>
    <t xml:space="preserve">Bontrager/Mavic MA2, MA40 </t>
  </si>
  <si>
    <t>Bontrager/Weinmann BCR1</t>
  </si>
  <si>
    <t xml:space="preserve">Breezer Backdraft </t>
  </si>
  <si>
    <t>Campagnolo Aconcagua</t>
  </si>
  <si>
    <t>Campagnolo Alpha XL</t>
  </si>
  <si>
    <t>X, cross number (decimal allowed)(optional)</t>
  </si>
  <si>
    <t>Input Data</t>
  </si>
  <si>
    <t>Output Data</t>
  </si>
  <si>
    <t>Front Wheel</t>
  </si>
  <si>
    <t>Front hub is</t>
  </si>
  <si>
    <t>Front rim is</t>
  </si>
  <si>
    <t>Rear hub is</t>
  </si>
  <si>
    <t>Rear rim is</t>
  </si>
  <si>
    <t>by clicking on its tab at the bottom of the screen.</t>
  </si>
  <si>
    <t>Instructions on how to use the macros to enter hub and rim data are on the</t>
  </si>
  <si>
    <t>Bontrager ATB PN 242146 Race X Lite centerlock</t>
  </si>
  <si>
    <t>Bontrager ATB PN 242147 Race X Lite centerlock</t>
  </si>
  <si>
    <t>Bontrager PN 230855 Race Lite Disc Tubeless OSB</t>
  </si>
  <si>
    <t>26"</t>
  </si>
  <si>
    <t>Bontrager PN 243628 Race Lite OSB 29"</t>
  </si>
  <si>
    <t>Bontrager RXL Carbon Clincher Rear OSB PROTOTYPE</t>
  </si>
  <si>
    <t>Sun Rhyno Lite (Damon measured Nov. 06 2002)</t>
  </si>
  <si>
    <t>Sun Rhyno Lite MEASURE TO BE SURE!</t>
  </si>
  <si>
    <t>Hayes by EDCO</t>
  </si>
  <si>
    <t xml:space="preserve">view the formulas in the Formula Bar near the top of the worksheet. </t>
  </si>
  <si>
    <t>Power-tap</t>
  </si>
  <si>
    <t>Power-tap ATB</t>
  </si>
  <si>
    <t>Click on the tabs (bottom of screen) for hub and rim dimensions.  You can edit or add to those dimensions.</t>
  </si>
  <si>
    <t>...or follow the directions on the "hubs" and "rims" sheets to make the macros enter them for you.</t>
  </si>
  <si>
    <r>
      <t xml:space="preserve">(Optional) Print this page by choosing </t>
    </r>
    <r>
      <rPr>
        <u val="single"/>
        <sz val="10"/>
        <rFont val="Arial"/>
        <family val="2"/>
      </rPr>
      <t>P</t>
    </r>
    <r>
      <rPr>
        <sz val="10"/>
        <rFont val="Arial"/>
        <family val="2"/>
      </rPr>
      <t xml:space="preserve">rint from the </t>
    </r>
    <r>
      <rPr>
        <u val="single"/>
        <sz val="10"/>
        <rFont val="Arial"/>
        <family val="2"/>
      </rPr>
      <t>F</t>
    </r>
    <r>
      <rPr>
        <sz val="10"/>
        <rFont val="Arial"/>
        <family val="2"/>
      </rPr>
      <t>ile menu.</t>
    </r>
  </si>
  <si>
    <t>Enter rim and hub dimensions by typing them in the yellow "Input" cells (column C)…</t>
  </si>
  <si>
    <t>Spoke lengths for various cross patterns are immediately displayed in columns E and F.</t>
  </si>
  <si>
    <t>Rear Wheel</t>
  </si>
  <si>
    <t>Campagnolo Atek</t>
  </si>
  <si>
    <t>Campagnolo Beta</t>
  </si>
  <si>
    <t>Torelli Master, new style</t>
  </si>
  <si>
    <t>http://www.rivendellbicycles.com/Webalog/wheels/18094.html</t>
  </si>
  <si>
    <t xml:space="preserve">Campagnolo Contax </t>
  </si>
  <si>
    <t>Campagnolo Everest</t>
  </si>
  <si>
    <t xml:space="preserve">Campagnolo K2 </t>
  </si>
  <si>
    <t>Campagnolo Kappa</t>
  </si>
  <si>
    <t>Campagnolo Kilimangiaro</t>
  </si>
  <si>
    <t>Campagnolo Mirox</t>
  </si>
  <si>
    <t>Campagnolo Stheno</t>
  </si>
  <si>
    <t xml:space="preserve">Campagnolo Thorr </t>
  </si>
  <si>
    <t xml:space="preserve">Campagnolo Zark </t>
  </si>
  <si>
    <t>Campagnolo Zeta</t>
  </si>
  <si>
    <t>FiR MS26, Downhill (same w/ machined sidewalls)</t>
  </si>
  <si>
    <t>FiR W 400</t>
  </si>
  <si>
    <t>Bontrager Road PN 240441 RXL Aero. Use 1.333 cross.</t>
  </si>
  <si>
    <t>K525</t>
  </si>
  <si>
    <t>Matrix Lobo</t>
  </si>
  <si>
    <t xml:space="preserve">Matrix Mt. Titan </t>
  </si>
  <si>
    <t xml:space="preserve">Matrix S T Comp </t>
  </si>
  <si>
    <t>Matrix Single Track</t>
  </si>
  <si>
    <t xml:space="preserve">Matrix Swami </t>
  </si>
  <si>
    <t>Mavic 117</t>
  </si>
  <si>
    <t>Mavic Energie M217</t>
  </si>
  <si>
    <t>Mavic Energie M7</t>
  </si>
  <si>
    <t>Mavic F519</t>
  </si>
  <si>
    <t xml:space="preserve">Mavic M230 </t>
  </si>
  <si>
    <t>Mavic M231</t>
  </si>
  <si>
    <t>Mavic M238</t>
  </si>
  <si>
    <t>Mavic M261</t>
  </si>
  <si>
    <t xml:space="preserve">Mavic M281 </t>
  </si>
  <si>
    <t>Mavic MA40</t>
  </si>
  <si>
    <t xml:space="preserve">Mavic Oxygen M6 </t>
  </si>
  <si>
    <t>Mavic Rando M4</t>
  </si>
  <si>
    <t>Mavic Rando M5</t>
  </si>
  <si>
    <t xml:space="preserve">Rigida steel Superchromix 1.75 </t>
  </si>
  <si>
    <t>Ritchey Rock 395</t>
  </si>
  <si>
    <t>Ritchey Rock 415</t>
  </si>
  <si>
    <t xml:space="preserve">Ritchey Rock 440SC </t>
  </si>
  <si>
    <t xml:space="preserve">Ritchey Vantage Expert </t>
  </si>
  <si>
    <t xml:space="preserve">Ritchey Vantage Pro </t>
  </si>
  <si>
    <t>Ritchey Vantage Sport</t>
  </si>
  <si>
    <t>Specialized GX23</t>
  </si>
  <si>
    <t>Specialized GX26</t>
  </si>
  <si>
    <t>Specialized Saturne HX22</t>
  </si>
  <si>
    <t>Specialized Saturne HX28</t>
  </si>
  <si>
    <t>Specialized Saturne HX32</t>
  </si>
  <si>
    <t>Specialized Saturne X22</t>
  </si>
  <si>
    <t>Specialized Saturne X28</t>
  </si>
  <si>
    <t>Specialized Saturne X32</t>
  </si>
  <si>
    <t>Specialized X26</t>
  </si>
  <si>
    <t>Specialized XL21</t>
  </si>
  <si>
    <t xml:space="preserve">Specialized XL23 </t>
  </si>
  <si>
    <t xml:space="preserve">Specialized Z21 </t>
  </si>
  <si>
    <t>Bontrager Road PN 240144 proto</t>
  </si>
  <si>
    <t>Bontrager Road 240097,8 proto</t>
  </si>
  <si>
    <t>Sun 0 degree Lite</t>
  </si>
  <si>
    <t>Sun Buzz MTB</t>
  </si>
  <si>
    <t>Sun C20</t>
  </si>
  <si>
    <t xml:space="preserve">Sun C20 tandem </t>
  </si>
  <si>
    <t>Sun CRE16</t>
  </si>
  <si>
    <t>Sun CRT16</t>
  </si>
  <si>
    <t>Sun CRT16II</t>
  </si>
  <si>
    <t>Sun CRT17A</t>
  </si>
  <si>
    <t>Sun DoubleWide</t>
  </si>
  <si>
    <t>Sun DS1-XC</t>
  </si>
  <si>
    <t>Sun L20 Style I</t>
  </si>
  <si>
    <t>Sun L25</t>
  </si>
  <si>
    <t>Rolf Vector</t>
  </si>
  <si>
    <t>Sun M25</t>
  </si>
  <si>
    <t>Sun Mammoth BFR (Big Fat Rim)</t>
  </si>
  <si>
    <t>Sun Phat Albert</t>
  </si>
  <si>
    <t>Sun Rhyno Lite</t>
  </si>
  <si>
    <t>Sun Rhyno Lite (newer version and XL-1.75 version)</t>
  </si>
  <si>
    <t>Sun Rhyno Lite (XL version)</t>
  </si>
  <si>
    <t>Sun Sub IV</t>
  </si>
  <si>
    <t>Bontrager Road PN 240603 Race Lite. Radial or cross ok.</t>
  </si>
  <si>
    <t>Bontrager Road PN 240134 Race.</t>
  </si>
  <si>
    <t>Bontrager Road PN 240134 Race. Converted to 145</t>
  </si>
  <si>
    <t>Velocity Aero Heat AT (24mm wide x 22mm deep)</t>
  </si>
  <si>
    <t>Velocity Cliff Hanger (28mm wide x 25mm deep)</t>
  </si>
  <si>
    <t>Velocity Deep V (24mm wide x 32mm deep)</t>
  </si>
  <si>
    <t>Velocity K525 (21mm wide x 21mm deep)</t>
  </si>
  <si>
    <t>Velocity Mt. GoAT (25mm wide x 18mm deep)</t>
  </si>
  <si>
    <t>Velocity Synergy (23mm wide x 20mm deep, symmetrical and asymmetrical)</t>
  </si>
  <si>
    <t>Velocity Triple V (26mm wide x 17mm deep)</t>
  </si>
  <si>
    <t xml:space="preserve">Weinmann Mod 2719 </t>
  </si>
  <si>
    <t xml:space="preserve">Wheelsmith Cowpie </t>
  </si>
  <si>
    <t xml:space="preserve">Wheelsmith Speedcow </t>
  </si>
  <si>
    <t>Bontrager PN 992115, 994103 Fairlane symmetric</t>
  </si>
  <si>
    <t>Bontrager PN 992116, 994305 Fairlane OSB</t>
  </si>
  <si>
    <t>da Vinci V22 http://www.davincitandems.com/</t>
  </si>
  <si>
    <t>Rolf Road PN 200385 Vector Comp. Radial, heads out.</t>
  </si>
  <si>
    <t>Rolf Road PN 200328 Vector Comp. Use 2.29 cross.</t>
  </si>
  <si>
    <t>For 24 paired spokes laced 1x, enter 1.25 cross.</t>
  </si>
  <si>
    <t>For 20 paired spokes laced 2x, enter 2.29 cross.</t>
  </si>
  <si>
    <t>Xero Lite 16H</t>
  </si>
  <si>
    <t>Spocalc2004</t>
  </si>
  <si>
    <t>For 20 paired spokes laced 1x, enter 1.29 cross.</t>
  </si>
  <si>
    <t>For 16 paired spokes laced 1x, enter 1.33 cross.</t>
  </si>
  <si>
    <t>For 24 paired spokes laced 2x, enter 2.25 cross.</t>
  </si>
  <si>
    <t>Bontrager PN 984042 Clyde</t>
  </si>
  <si>
    <t>Bontrager PN 992201Corvair symmetrical</t>
  </si>
  <si>
    <t>Bontrager PN 211931 Mustang tubeless</t>
  </si>
  <si>
    <t>Bontrager PN 984238 Mustang symmetrical</t>
  </si>
  <si>
    <t>Bontrager PN 201752 Mustang OSB Disc</t>
  </si>
  <si>
    <t>Bontrager PN 984039 Mustang OSB</t>
  </si>
  <si>
    <t>Bontrager PN 984037 Maverick symmetrical</t>
  </si>
  <si>
    <t>Bontrager PN 984038 Maverick OSB</t>
  </si>
  <si>
    <t>Bontrager PN 993524 Corvair OSB</t>
  </si>
  <si>
    <t>Bontrager PN 981886 Clyde (24mm wide)</t>
  </si>
  <si>
    <t>Matrix PN 970704 ISO 3</t>
  </si>
  <si>
    <t>Bontrager PN 982951 Valiant symmetrical</t>
  </si>
  <si>
    <t>Bontrager PN 984574 Valiant OSB</t>
  </si>
  <si>
    <t>Bontrager RaceLite front</t>
  </si>
  <si>
    <t>Bontrager PN 220481 Race Mod Disc specific</t>
  </si>
  <si>
    <t>Bontrager PN 220459 Race Mod Tubeless front</t>
  </si>
  <si>
    <t>Wolber AT15</t>
  </si>
  <si>
    <t>Wolber AT18</t>
  </si>
  <si>
    <t xml:space="preserve">Wolber AT20 </t>
  </si>
  <si>
    <t xml:space="preserve">Wolber Canyon </t>
  </si>
  <si>
    <t xml:space="preserve">WTB SpeedMaster 25mm </t>
  </si>
  <si>
    <t xml:space="preserve">WTB SpeedMaster II </t>
  </si>
  <si>
    <t>24x1 3/8</t>
  </si>
  <si>
    <t>Wolber GTA</t>
  </si>
  <si>
    <t>24x1 1/8</t>
  </si>
  <si>
    <t xml:space="preserve">Araya 20A </t>
  </si>
  <si>
    <t xml:space="preserve">Mavic Open 4 CD </t>
  </si>
  <si>
    <t>24" BMX</t>
  </si>
  <si>
    <t xml:space="preserve">Araya 7X </t>
  </si>
  <si>
    <t>Bontrager Track PN 240008</t>
  </si>
  <si>
    <t>Bontrager Track PN 240007</t>
  </si>
  <si>
    <t xml:space="preserve">Araya RM20 </t>
  </si>
  <si>
    <t>Araya Big Willie MG2000 (MEASURE TO BE SURE!)</t>
  </si>
  <si>
    <t>http://www.araya-kk.co.jp/rim/catalog/main.html</t>
  </si>
  <si>
    <t>Araya RM14</t>
  </si>
  <si>
    <t>Araya RM17</t>
  </si>
  <si>
    <t>Araya RM20</t>
  </si>
  <si>
    <t>Araya RM25</t>
  </si>
  <si>
    <t>Araya RM400</t>
  </si>
  <si>
    <t>Araya RM395</t>
  </si>
  <si>
    <t>Araya VP20</t>
  </si>
  <si>
    <t>Araya RM-930DISC (MEASURE TO BE SURE!)</t>
  </si>
  <si>
    <t>Araya RM-915DH (MEASURE TO BE SURE!)</t>
  </si>
  <si>
    <t>Araya RB-17 (MEASURE TO BE SURE!)</t>
  </si>
  <si>
    <t>Araya TM-840F (MEASURE TO BE SURE!)</t>
  </si>
  <si>
    <t>Araya GP-710 (MEASURE TO BE SURE!)</t>
  </si>
  <si>
    <t>Araya VP-20 (MEASURE TO BE SURE!)</t>
  </si>
  <si>
    <t>Bontrager ATB PN 220201 Race Disc by Formula</t>
  </si>
  <si>
    <t>Bontrager ATB PN 220864 Race Lite by DT</t>
  </si>
  <si>
    <t>Bontrager ATB PN 220866 Race Lite by DT</t>
  </si>
  <si>
    <t xml:space="preserve">Bontrager ATB PN 220867 Race Modified by DT Swiss (Onyx) </t>
  </si>
  <si>
    <t xml:space="preserve">Bontrager ATB PN 210240 Race </t>
  </si>
  <si>
    <t xml:space="preserve">Bontrager ATB PN 220028 Select Disc </t>
  </si>
  <si>
    <t>Shimano 105 FH-5500</t>
  </si>
  <si>
    <t>http://bike.shimano.com/road/105/ComponentTemplate.asp?partnumber=FH-5500</t>
  </si>
  <si>
    <t xml:space="preserve">Bontrager ATB PN 220029 Select Disc </t>
  </si>
  <si>
    <t xml:space="preserve">Bontrager ATB PN 220628 Select </t>
  </si>
  <si>
    <t>Shimano XTR FH-M965 Disc</t>
  </si>
  <si>
    <t>Shimano 2002/03 Products &amp; Features book</t>
  </si>
  <si>
    <t>Shimano XTR HB-M965 Disc</t>
  </si>
  <si>
    <t>Tioga XC</t>
  </si>
  <si>
    <t>Kelly_Paasch@und.nodak.edu</t>
  </si>
  <si>
    <t>Shimano Dura-Ace 10spd 7800</t>
  </si>
  <si>
    <t>Bontrager PN 240064 RXXXL OCLV Carbon Tubular Front/Rear with SS washer (.82mm thick)</t>
  </si>
  <si>
    <t>Bontrager PN 242752, R455 (04 Select Rd. extrusion)</t>
  </si>
  <si>
    <t xml:space="preserve">Bontrager ATB PN 220629 Select </t>
  </si>
  <si>
    <t xml:space="preserve">Bontrager ATB PN 200128 Superstock </t>
  </si>
  <si>
    <t xml:space="preserve">Bontrager ATB PN 200129 Superstock </t>
  </si>
  <si>
    <t>Bontrager ATB PN 220865 Race Modified by DT Swiss (Onyx)</t>
  </si>
  <si>
    <t>Bontrager ATB PN 210248 Race Mod Disc by DT Swiss (Onyx)</t>
  </si>
  <si>
    <t>Bontrager ATB PN 210249 Race Mod Disc by DT Swiss (Onyx)</t>
  </si>
  <si>
    <t>Jim McKim</t>
  </si>
  <si>
    <t>Normandy high flange respaced to 126mm</t>
  </si>
  <si>
    <t>Shimano 600 FH-6400 6S</t>
  </si>
  <si>
    <t>Phil Wood track, large flange</t>
  </si>
  <si>
    <t>Bontrager RXL OCLV Carbon Tubular Front/Rear Prototype</t>
  </si>
  <si>
    <t>Bontrager PN 221850 Race Lite Tubeless 29" OSB rim brake compatible</t>
  </si>
  <si>
    <t xml:space="preserve">Bontrager PN 220472 Race Tubeless 29" OSB rim brake compatible </t>
  </si>
  <si>
    <t>Araya RB-907X/Super7X (MEASURE TO BE SURE!)</t>
  </si>
  <si>
    <t>Araya RB-J1/HIMIKO (MEASURE TO BE SURE!)</t>
  </si>
  <si>
    <t>Araya TB-807X/Ultra7X (MEASURE TO BE SURE!)</t>
  </si>
  <si>
    <t>Araya MP-707X (MEASURE TO BE SURE!)</t>
  </si>
  <si>
    <t>Araya TX-310F (MEASURE TO BE SURE!)</t>
  </si>
  <si>
    <t>Shimano Deore LX HB-M563, HB-M564, HB-M570</t>
  </si>
  <si>
    <t>left bracing angle</t>
  </si>
  <si>
    <t>right bracing angle</t>
  </si>
  <si>
    <t>Reference information:</t>
  </si>
  <si>
    <t>fox-muller@comcast.net</t>
  </si>
  <si>
    <t>Shimano Nexus Inter-8 8-speed internal</t>
  </si>
  <si>
    <t>CaptBike@sheldonbrown.com</t>
  </si>
  <si>
    <t>Shimano Nexus Inter-8 8-speed internal without roller brake locknut</t>
  </si>
  <si>
    <t>Kogswell double fixed mtb/singlespeed rear</t>
  </si>
  <si>
    <t>Kogswell front</t>
  </si>
  <si>
    <t>126, 130, 135</t>
  </si>
  <si>
    <t>Atomic Trailpimp</t>
  </si>
  <si>
    <t>barsiantony@hotmail.com</t>
  </si>
  <si>
    <t>Shimano Deore XT FH-M756L</t>
  </si>
  <si>
    <t>Shimano Dura-Ace 7800</t>
  </si>
  <si>
    <t>Araya PX-645 (MEASURE TO BE SURE!)</t>
  </si>
  <si>
    <t>Araya SA-530C Super Aero clincher (30mm deep)</t>
  </si>
  <si>
    <t>Araya VX400</t>
  </si>
  <si>
    <t xml:space="preserve">Araya VX300 </t>
  </si>
  <si>
    <t>Araya RC-540</t>
  </si>
  <si>
    <t xml:space="preserve">Araya CTL385 </t>
  </si>
  <si>
    <t>Araya CTL185</t>
  </si>
  <si>
    <t>Araya 20A</t>
  </si>
  <si>
    <t>Araya CT19</t>
  </si>
  <si>
    <t>Tension R/L</t>
  </si>
  <si>
    <t>Araya CTL-370</t>
  </si>
  <si>
    <t>Araya SS-40</t>
  </si>
  <si>
    <t>Araya TX350</t>
  </si>
  <si>
    <t>Araya 18</t>
  </si>
  <si>
    <t>Araya SP-30</t>
  </si>
  <si>
    <t>Araya 16A(5)</t>
  </si>
  <si>
    <t>Araya SP-20</t>
  </si>
  <si>
    <t>Araya 15</t>
  </si>
  <si>
    <t>Araya ADX-510 (MEASURE TO BE SURE!)</t>
  </si>
  <si>
    <t>Araya ADX-510</t>
  </si>
  <si>
    <t>Araya 20A  (MEASURE TO BE SURE!)</t>
  </si>
  <si>
    <t>Araya RT-520 (MEASURE TO BE SURE!)</t>
  </si>
  <si>
    <t>Araya SA-230S Super Aero (30mm deep)</t>
  </si>
  <si>
    <t>Araya Pro Staff 340</t>
  </si>
  <si>
    <t>Araya Pro Staff 400</t>
  </si>
  <si>
    <t>Araya ADX-4</t>
  </si>
  <si>
    <t>Araya ADX-5</t>
  </si>
  <si>
    <t>Araya Tita-Ace</t>
  </si>
  <si>
    <t>Araya R-50</t>
  </si>
  <si>
    <t>Araya 16B Gold</t>
  </si>
  <si>
    <t>Araya 16B Red</t>
  </si>
  <si>
    <t>Araya NEWADX-1S</t>
  </si>
  <si>
    <t>Wolber/Super Champion Aspin</t>
  </si>
  <si>
    <t>Wolber/Super Champion Aubisque</t>
  </si>
  <si>
    <t>Wolber/Super Champion Arc-en-ciel</t>
  </si>
  <si>
    <t>Wolber/Super Champion Medaile d'Or</t>
  </si>
  <si>
    <t>Wolber/Super Champion Competition</t>
  </si>
  <si>
    <t>Araya TF-110</t>
  </si>
  <si>
    <t>Araya LP-60</t>
  </si>
  <si>
    <t>Araya W/O-2 steel</t>
  </si>
  <si>
    <t>Ambrosio Metamorphosis</t>
  </si>
  <si>
    <t>Ambrosio Synthesis</t>
  </si>
  <si>
    <t>Campagnolo Delta (box section)</t>
  </si>
  <si>
    <t>Campagnolo Lambda (box section)</t>
  </si>
  <si>
    <t>Campagnolo Omega (box section)</t>
  </si>
  <si>
    <t>Campagnolo Sigma (box section)</t>
  </si>
  <si>
    <t>Campagnolo Record (box section)</t>
  </si>
  <si>
    <t>Campagnolo Victory (box section)</t>
  </si>
  <si>
    <t>Fiamme Ergal-Iride</t>
  </si>
  <si>
    <t>Fiamme Ergal (Yellow Label)</t>
  </si>
  <si>
    <t>Fiamme Hard Silver</t>
  </si>
  <si>
    <t>Fiamme Super Corsa</t>
  </si>
  <si>
    <t>Fiamme Red Label</t>
  </si>
  <si>
    <t>Fiamme Speedy (track)</t>
  </si>
  <si>
    <t>Fiamme Master</t>
  </si>
  <si>
    <t>FiR Isidis</t>
  </si>
  <si>
    <t>FiR Sirus</t>
  </si>
  <si>
    <t>FiR Quasar</t>
  </si>
  <si>
    <t>FiR Pulsar</t>
  </si>
  <si>
    <t>FiR ST120 (400g)</t>
  </si>
  <si>
    <t>FiR ST120L (340g)</t>
  </si>
  <si>
    <t>Mavic CX18</t>
  </si>
  <si>
    <t>Mavic Bleu SSC</t>
  </si>
  <si>
    <t>Mavic Montlhery Pro</t>
  </si>
  <si>
    <t>Mavic GL330</t>
  </si>
  <si>
    <t>Mavic GEL280</t>
  </si>
  <si>
    <t>Mavic Argent 7</t>
  </si>
  <si>
    <t>Mavic Argent 8</t>
  </si>
  <si>
    <t>Mavic Argent 10</t>
  </si>
  <si>
    <t>Mavic OR7</t>
  </si>
  <si>
    <t>Nisi AN-85</t>
  </si>
  <si>
    <t>Nisi Countach</t>
  </si>
  <si>
    <t>Nisi Solidal</t>
  </si>
  <si>
    <t>Nisi Sludi Mod 290</t>
  </si>
  <si>
    <t>Nisi Sludi Mod 320</t>
  </si>
  <si>
    <t>Nisi G-27</t>
  </si>
  <si>
    <t>Saturae:  All greay anodized models</t>
  </si>
  <si>
    <t>Mavic MA single eyelets</t>
  </si>
  <si>
    <t>Mavic MA2</t>
  </si>
  <si>
    <t>Specialized Saturae HC19</t>
  </si>
  <si>
    <t>Specialized Saturae C20</t>
  </si>
  <si>
    <t>Mavic tech via charlieb@attbi.com</t>
  </si>
  <si>
    <t>Specialized Saturae C22</t>
  </si>
  <si>
    <t>Wolber/Super Champion Gentleman GTA2</t>
  </si>
  <si>
    <t>Wolber/Super Champion Gentleman GTX</t>
  </si>
  <si>
    <t>Wolber/Super Champion Module 58</t>
  </si>
  <si>
    <t>Wolber/Super Champion Module 59</t>
  </si>
  <si>
    <t>Campagnolo Helsinki '52</t>
  </si>
  <si>
    <t>Campagnolo Melbourne '56</t>
  </si>
  <si>
    <t>Campagnolo Roma '60</t>
  </si>
  <si>
    <t>Campagnolo Munchen '72</t>
  </si>
  <si>
    <t>Campagnolo Montreal '76 box style</t>
  </si>
  <si>
    <t>FiR EL20</t>
  </si>
  <si>
    <t>FiR EL45</t>
  </si>
  <si>
    <t>FiR ES35</t>
  </si>
  <si>
    <t>FiR EU90</t>
  </si>
  <si>
    <r>
      <t>Matrix Titan-</t>
    </r>
    <r>
      <rPr>
        <sz val="10"/>
        <rFont val="Times New Roman"/>
        <family val="1"/>
      </rPr>
      <t>II</t>
    </r>
  </si>
  <si>
    <r>
      <t xml:space="preserve">Matrix </t>
    </r>
    <r>
      <rPr>
        <sz val="10"/>
        <rFont val="Arial"/>
        <family val="2"/>
      </rPr>
      <t>Titan S</t>
    </r>
  </si>
  <si>
    <t>OSB, mm</t>
  </si>
  <si>
    <t>OSB, offset spoke bed</t>
  </si>
  <si>
    <t>WL, width from center to left flange</t>
  </si>
  <si>
    <t>left length</t>
  </si>
  <si>
    <t>WR, width from center to right flange</t>
  </si>
  <si>
    <t>dL, left flange diameter</t>
  </si>
  <si>
    <t>dR, right flange diameter</t>
  </si>
  <si>
    <t>WL_effective = W + OSB</t>
  </si>
  <si>
    <t>WR_effective = W - OSB</t>
  </si>
  <si>
    <t>right length</t>
  </si>
  <si>
    <t>Rinard/Hollenbeck carbon clincher proto #1</t>
  </si>
  <si>
    <t>Ritchey Rock 450CE</t>
  </si>
  <si>
    <t>Ritchey Rock 490</t>
  </si>
  <si>
    <t>Ritchey Rock 490C</t>
  </si>
  <si>
    <t>Specialized C20</t>
  </si>
  <si>
    <t>Specialized C22</t>
  </si>
  <si>
    <t>Velocity Aerohead (20mm wide x 19mm deep, 2001) MEASURE TO BE SURE!</t>
  </si>
  <si>
    <t>Campagnolo Barcelona '92 (15mm tall)</t>
  </si>
  <si>
    <t>Campagnolo Barcelona '92 (12mm tall)</t>
  </si>
  <si>
    <t>Knoch, Andreas &lt;A.Knoch@FAZ-INSTITUT.DE&gt;</t>
  </si>
  <si>
    <t>Shimano Deore HB-M530</t>
  </si>
  <si>
    <t>Knoesen, Scherrit : WM Gerrard &lt;scherrit.knoesen@gerrard.com&gt;</t>
  </si>
  <si>
    <t>Franco &lt;frmbike@libero.it&gt; frmbike.com</t>
  </si>
  <si>
    <t>FRM FL-M TEAM (MTB)</t>
  </si>
  <si>
    <t>FRM FL-R TEAM CA (road only)</t>
  </si>
  <si>
    <t>FRM FL-M TEAM DISC (MTB)</t>
  </si>
  <si>
    <t>FRM "Lefty" FL-M TEAM DISC (MTB)</t>
  </si>
  <si>
    <t>-</t>
  </si>
  <si>
    <t>FRM FL-R PRO &amp; FL-M PRO (road &amp; MTB)</t>
  </si>
  <si>
    <t>FRM FL-R PRO (road only)</t>
  </si>
  <si>
    <t>FRM FL-M PRO (MTB)</t>
  </si>
  <si>
    <t>FRM FL-M PRO DISC</t>
  </si>
  <si>
    <t>Sheldon Brown &lt;CaptBike@sheldonbrown.com&gt;</t>
  </si>
  <si>
    <t>SRAM i-Motion 9 Gearhub (with back pedal brake)</t>
  </si>
  <si>
    <t>Ambrosio FCS 28</t>
  </si>
  <si>
    <t>http://groups.google.com/group/rec.bicycles.tech/msg/0909c0f61e83da38</t>
  </si>
  <si>
    <t>Ambrosio Excellight S.S.C.</t>
  </si>
  <si>
    <t>Ambrosio Excellence - MEASURE TO BE SURE</t>
  </si>
  <si>
    <t>Ambrosio Nexus</t>
  </si>
  <si>
    <t>Ambrosio Balance 20w x 22h - MEASURE ERD TO BE SURE!</t>
  </si>
  <si>
    <t>Ambrosio Excursion</t>
  </si>
  <si>
    <t>Ambrosio Nemesis 2000</t>
  </si>
  <si>
    <t>Ambrosio Thesis</t>
  </si>
  <si>
    <t>Ambrosio Crono F.20 - MEASURE TO BE SURE</t>
  </si>
  <si>
    <t>Ambrosio Formula 20 Crono - MEASURE TO BE SURE</t>
  </si>
  <si>
    <t>Ambrosio Tour de France</t>
  </si>
  <si>
    <t>Ambrosio Montreal - MEASURE TO BE SURE!</t>
  </si>
  <si>
    <t>Ambrosio Camel (Touring/Trekking)</t>
  </si>
  <si>
    <t>Ambrosio The Frog (Touring/Trekking)</t>
  </si>
  <si>
    <t>Ambrosio Area 4 (Touring/Trekking)</t>
  </si>
  <si>
    <t>Ambrosio B.8 (Touring/Trekking)</t>
  </si>
  <si>
    <t>Ambrosio C.C.28 (Touring/Trekking)</t>
  </si>
  <si>
    <t>Ambrosio Eurosport (Touring/Trekking)</t>
  </si>
  <si>
    <t>Ambrosio Keba (Touring/Trekking) - MEASURE TO BE SURE!</t>
  </si>
  <si>
    <t>IRO High-flange track hub</t>
  </si>
  <si>
    <t>http://www.irocycle.com/hubspec.html</t>
  </si>
  <si>
    <t>IRO Single Speed hub</t>
  </si>
  <si>
    <t>IRO Single Speed disc brake hub</t>
  </si>
  <si>
    <t>EMAG hub motor</t>
  </si>
  <si>
    <t>Per Eric Rosén" &lt;per@rosnix.net&gt; http://www.electro-mobile.se/navmotor.htm and measurments</t>
  </si>
  <si>
    <t>Brave Monster 48-hole BMX freehub 8/9 cogs shimano-compatible</t>
  </si>
  <si>
    <t>Per Eric Rosén &lt;per@rosnix.net&gt;</t>
  </si>
  <si>
    <t>Shimano Nexus SG-7R45 7SPD INTER-7 ROLLER BRAKE</t>
  </si>
  <si>
    <t>Shimano Nexus HB-IM40 front, roller brake</t>
  </si>
  <si>
    <t>Shimano Nexus HB-NX70 Disc hubdynamo</t>
  </si>
  <si>
    <t>Shimano's web site</t>
  </si>
  <si>
    <t>On-one 120mm Double Fixed</t>
  </si>
  <si>
    <t>NOTUBES ZTR 355</t>
  </si>
  <si>
    <t>http://www.notubes.com/support_wheelset.php</t>
  </si>
  <si>
    <t>NOTUBES ZTR Olympic</t>
  </si>
  <si>
    <t>NOTUBES ZTR Freeride</t>
  </si>
  <si>
    <t>NOTUBES ZTR 355 29'er</t>
  </si>
  <si>
    <t>NOTUBES ZTR Olympic 29'er</t>
  </si>
  <si>
    <t>IRD Cadence</t>
  </si>
  <si>
    <t>http://www.interlocracing.com/rims.html</t>
  </si>
  <si>
    <t>IRD Cadence Aero (30 mm deep)</t>
  </si>
  <si>
    <t>IRD Cadence VSR (virtual symmetry rim)</t>
  </si>
  <si>
    <t>IRD Tsunami</t>
  </si>
  <si>
    <t>IRD Tsunami disk</t>
  </si>
  <si>
    <t>IRD Clyde 24 mm wide</t>
  </si>
  <si>
    <t>Bontrager ATB PN Prototype LB/4 "XT class"</t>
  </si>
  <si>
    <t>Bontrager ATB PN 230044 sealed bearings</t>
  </si>
  <si>
    <t>Specialized HC19</t>
  </si>
  <si>
    <t>Specialized HC20</t>
  </si>
  <si>
    <t>Suntour Superbe Pro</t>
  </si>
  <si>
    <t>Suntour Sprint</t>
  </si>
  <si>
    <t>Suntour GPX</t>
  </si>
  <si>
    <t>Bontrager Road PN xxxxxx prototype carbon shell</t>
  </si>
  <si>
    <t>White Industries ENO eccentric flip-flop</t>
  </si>
  <si>
    <t>American Classic Design's "CR350"</t>
  </si>
  <si>
    <t>American Classic carbon fiber V rim by Zipp</t>
  </si>
  <si>
    <t>http://www.amclassic.com/Rims.html</t>
  </si>
  <si>
    <t>Suntour XC-9000</t>
  </si>
  <si>
    <t>Sun ICI-1</t>
  </si>
  <si>
    <t>Velocity Aero Heat AT</t>
  </si>
  <si>
    <t>Velocity TAIPAN</t>
  </si>
  <si>
    <t xml:space="preserve">Velocity Triple V </t>
  </si>
  <si>
    <t>24"</t>
  </si>
  <si>
    <t>Sun M17A (MEASURE TO BE SURE!)</t>
  </si>
  <si>
    <t xml:space="preserve">Sun M19A </t>
  </si>
  <si>
    <r>
      <t>Sun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(532 mm OD)</t>
    </r>
  </si>
  <si>
    <t>20x1 1/8</t>
  </si>
  <si>
    <t xml:space="preserve">Sun M17 </t>
  </si>
  <si>
    <t>20" BMX</t>
  </si>
  <si>
    <t xml:space="preserve">ACS Z </t>
  </si>
  <si>
    <t>Alesa Explorer</t>
  </si>
  <si>
    <t>Answer Aero Tech</t>
  </si>
  <si>
    <t>Sun Big City</t>
  </si>
  <si>
    <t>20"</t>
  </si>
  <si>
    <r>
      <t>Sun M19A,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(432 mm OD)</t>
    </r>
  </si>
  <si>
    <t>18"</t>
  </si>
  <si>
    <r>
      <t>Sun M19A,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(382 mm OD)</t>
    </r>
  </si>
  <si>
    <t>17x1 1/4</t>
  </si>
  <si>
    <t>Moulton, Alex (factory rim)</t>
  </si>
  <si>
    <t>Sun M17 Moulton</t>
  </si>
  <si>
    <t>16x1 3/8</t>
  </si>
  <si>
    <t>16"</t>
  </si>
  <si>
    <r>
      <t>Sun M19A,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(331 mm OD)</t>
    </r>
  </si>
  <si>
    <r>
      <t>S</t>
    </r>
    <r>
      <rPr>
        <sz val="10"/>
        <rFont val="Arial"/>
        <family val="0"/>
      </rPr>
      <t xml:space="preserve"> is the Spoke hole diameter, usually 2.4mm.</t>
    </r>
  </si>
  <si>
    <r>
      <t>d</t>
    </r>
    <r>
      <rPr>
        <sz val="10"/>
        <rFont val="Arial"/>
        <family val="0"/>
      </rPr>
      <t xml:space="preserve"> is the diameter of the circle through the centers of the spoke holes.</t>
    </r>
  </si>
  <si>
    <r>
      <t>W</t>
    </r>
    <r>
      <rPr>
        <sz val="10"/>
        <rFont val="Arial"/>
        <family val="0"/>
      </rPr>
      <t xml:space="preserve"> is the hub width from the center of the wheel to the center of the flange.</t>
    </r>
  </si>
  <si>
    <r>
      <t>F/R</t>
    </r>
    <r>
      <rPr>
        <sz val="10"/>
        <rFont val="Arial"/>
        <family val="0"/>
      </rPr>
      <t xml:space="preserve"> indicates whether the hub is for a front or rear wheel.</t>
    </r>
  </si>
  <si>
    <r>
      <t>OLD</t>
    </r>
    <r>
      <rPr>
        <sz val="10"/>
        <rFont val="Arial"/>
        <family val="0"/>
      </rPr>
      <t xml:space="preserve"> is the Over Lock Nut dimension, or frame spacing.</t>
    </r>
  </si>
  <si>
    <r>
      <t>cogs</t>
    </r>
    <r>
      <rPr>
        <sz val="10"/>
        <rFont val="Arial"/>
        <family val="0"/>
      </rPr>
      <t xml:space="preserve"> is the number of cogs the hub accepts.</t>
    </r>
  </si>
  <si>
    <t>Left Flange</t>
  </si>
  <si>
    <t>Right Flange</t>
  </si>
  <si>
    <r>
      <t xml:space="preserve">Select a </t>
    </r>
    <r>
      <rPr>
        <b/>
        <sz val="10"/>
        <rFont val="Arial"/>
        <family val="2"/>
      </rPr>
      <t>Hub:</t>
    </r>
    <r>
      <rPr>
        <sz val="10"/>
        <rFont val="Arial"/>
        <family val="0"/>
      </rPr>
      <t xml:space="preserve"> select a cell in this column, then choose "Enter Front Hub Dims" or "Enter Rear Hub Dims"  from the "Tools" menu.</t>
    </r>
  </si>
  <si>
    <t>S, mm</t>
  </si>
  <si>
    <t>F/R</t>
  </si>
  <si>
    <t>cogs</t>
  </si>
  <si>
    <t>OLD, mm</t>
  </si>
  <si>
    <t>Hub</t>
  </si>
  <si>
    <t>by</t>
  </si>
  <si>
    <t>F</t>
  </si>
  <si>
    <t>American Classic</t>
  </si>
  <si>
    <t xml:space="preserve">Bullseye </t>
  </si>
  <si>
    <t xml:space="preserve">Bullseye tandem </t>
  </si>
  <si>
    <t>Campagnolo all hi-flange models</t>
  </si>
  <si>
    <t>Campagnolo Nuovo Record low flange</t>
  </si>
  <si>
    <t xml:space="preserve">Campagnolo tandem </t>
  </si>
  <si>
    <t>none</t>
  </si>
  <si>
    <t>Chris King BMX</t>
  </si>
  <si>
    <t>Chris King Classic front narrow</t>
  </si>
  <si>
    <t>Thad Ross</t>
  </si>
  <si>
    <t>Shimano XT HB-M753</t>
  </si>
  <si>
    <t>Shimano XT FH-M752</t>
  </si>
  <si>
    <t>Chris King Classic front wide</t>
  </si>
  <si>
    <t>Chris King MTB</t>
  </si>
  <si>
    <t>Chris King Road</t>
  </si>
  <si>
    <t>Chris King Single Speed</t>
  </si>
  <si>
    <t>Chris King Tandem</t>
  </si>
  <si>
    <t xml:space="preserve">CODA </t>
  </si>
  <si>
    <t>Coda 901 disc</t>
  </si>
  <si>
    <t>Bontrager carbon aero, back-calculated from 221441 using 255, 257 spokes.</t>
  </si>
  <si>
    <t>Coda Expert disc</t>
  </si>
  <si>
    <t>Coda Expert Non-disc</t>
  </si>
  <si>
    <t>Cannondale Tech Support</t>
  </si>
  <si>
    <t xml:space="preserve">Dia-Compe Tsali </t>
  </si>
  <si>
    <t>DT Onyx Light</t>
  </si>
  <si>
    <t>DT Onyx Normal</t>
  </si>
  <si>
    <t>Gipiemme Special (Campy low flange copy)</t>
  </si>
  <si>
    <t xml:space="preserve">Hershey Naked </t>
  </si>
  <si>
    <t xml:space="preserve">Hershey Standard Ti </t>
  </si>
  <si>
    <t xml:space="preserve">Hershey Suspension </t>
  </si>
  <si>
    <t xml:space="preserve">Hope Fatso </t>
  </si>
  <si>
    <t xml:space="preserve">Hope Super Ultralight </t>
  </si>
  <si>
    <t xml:space="preserve">Hope Suspension </t>
  </si>
  <si>
    <t xml:space="preserve">Hope tandem </t>
  </si>
  <si>
    <t xml:space="preserve">Hope Tech </t>
  </si>
  <si>
    <t>Hope Tech, narrower flanges</t>
  </si>
  <si>
    <t>Hope Tech, Ultralight</t>
  </si>
  <si>
    <t>Hugi 240</t>
  </si>
  <si>
    <t>Hugi Formula Disc</t>
  </si>
  <si>
    <t>Hugi Hayes Disc</t>
  </si>
  <si>
    <t>Hugi Magura Disc Gustav M</t>
  </si>
  <si>
    <t>Hugi Magura Disc Gustav M downhill</t>
  </si>
  <si>
    <t>Hugi Magura Disc Louise</t>
  </si>
  <si>
    <t xml:space="preserve">Hugi tandem </t>
  </si>
  <si>
    <t>Hugi tandem large flange</t>
  </si>
  <si>
    <t>Hugi TD (tandem) 2001</t>
  </si>
  <si>
    <t>Hugi TD disc brake (tandem) 2001</t>
  </si>
  <si>
    <t>Intense 20mm disc</t>
  </si>
  <si>
    <t>Joytech sealed med flange</t>
  </si>
  <si>
    <t>dL, mm</t>
  </si>
  <si>
    <t>WL, mm</t>
  </si>
  <si>
    <t>dR, mm</t>
  </si>
  <si>
    <t>WR, mm</t>
  </si>
  <si>
    <r>
      <t xml:space="preserve">OSB </t>
    </r>
    <r>
      <rPr>
        <sz val="10"/>
        <rFont val="Arial"/>
        <family val="2"/>
      </rPr>
      <t>is the lateral spoke bed offset (from wheel center). Non-zero for asymmetric rims.</t>
    </r>
  </si>
  <si>
    <t xml:space="preserve">Kingsbery low flange </t>
  </si>
  <si>
    <t xml:space="preserve">Machine Tech Hollowcore </t>
  </si>
  <si>
    <t>Magura 1999 Louise disc</t>
  </si>
  <si>
    <t>Vuelta Vision</t>
  </si>
  <si>
    <t xml:space="preserve">Veulta Airline 3 </t>
  </si>
  <si>
    <t>Mavic 500, 501, 520, 530, 531, 550, 571, 577</t>
  </si>
  <si>
    <t>Bontrager Road PN 242220 flangless RXXXL</t>
  </si>
  <si>
    <t>Bontrager Road PN 242221 flangless RXXXL - for NDS calcs</t>
  </si>
  <si>
    <t>Bontrager Road PN 242221 flangless RXXXL - for DS calcs</t>
  </si>
  <si>
    <t>Mavic MR601</t>
  </si>
  <si>
    <t>Mavic special small TT hub</t>
  </si>
  <si>
    <t>Normandy high flange</t>
  </si>
  <si>
    <t>Nuke Proof</t>
  </si>
  <si>
    <t>BMX</t>
  </si>
  <si>
    <t xml:space="preserve">Nuke Proof </t>
  </si>
  <si>
    <t>Nuke Proof Bombshell, post '95</t>
  </si>
  <si>
    <t>Nuke Proof Bombshell, pre '95</t>
  </si>
  <si>
    <t>Nuke Proof, older models</t>
  </si>
  <si>
    <t xml:space="preserve">Pace carbon sealed </t>
  </si>
  <si>
    <t xml:space="preserve">Paul Components </t>
  </si>
  <si>
    <t xml:space="preserve">Phil Wood Cross Country </t>
  </si>
  <si>
    <t xml:space="preserve">Phil Wood Field Serviceable </t>
  </si>
  <si>
    <t xml:space="preserve">Phil Wood medium original </t>
  </si>
  <si>
    <t xml:space="preserve">Phil Wood small old </t>
  </si>
  <si>
    <t xml:space="preserve">Phil Wood Suspension </t>
  </si>
  <si>
    <t xml:space="preserve">Phil Wood Time Trial </t>
  </si>
  <si>
    <t>Pulstar 28 hole</t>
  </si>
  <si>
    <t>Pulstar 32 hole</t>
  </si>
  <si>
    <t>Real front</t>
  </si>
  <si>
    <t xml:space="preserve">Ringlé Bubba </t>
  </si>
  <si>
    <t xml:space="preserve">Ringlé Super Bubba </t>
  </si>
  <si>
    <t>Ringlé/Sun "Sun of Bubba"</t>
  </si>
  <si>
    <t>95?</t>
  </si>
  <si>
    <t>Ritchey Z-hub MTB: WCS, Pro, Comp</t>
  </si>
  <si>
    <t>Ritchey Z-hub road: WCS, Pro</t>
  </si>
  <si>
    <t>Sachs 3000, 5000, New Success</t>
  </si>
  <si>
    <t>Sachs Quarz, Neos disc brake hubs</t>
  </si>
  <si>
    <t xml:space="preserve">Sachs Quarz, Neos, Centera </t>
  </si>
  <si>
    <t xml:space="preserve">Sachs Traxx </t>
  </si>
  <si>
    <t xml:space="preserve">Sachs VT3000 drum brake </t>
  </si>
  <si>
    <t xml:space="preserve">Sachs VT5000 drum brake </t>
  </si>
  <si>
    <t>Rocky Mountain disc QR20</t>
  </si>
  <si>
    <t>Woodman Bill LFY for Cannondale Lefty fork</t>
  </si>
  <si>
    <t>woodmanusa@earthlink.net</t>
  </si>
  <si>
    <t>Sanshin low flange (like Specialized)</t>
  </si>
  <si>
    <t>Rolf ATB PN 210246 Urraco disc. Use 2.25 cross.</t>
  </si>
  <si>
    <t>Rolf ATB PN 990034 Propel. Radial, heads out.</t>
  </si>
  <si>
    <t>Rolf Road PN 992473 Vector. Radial, heads out.</t>
  </si>
  <si>
    <t>Rolf Road PN 210948 Vector. Use 2.25 cross.</t>
  </si>
  <si>
    <t>Rolf Road PN 200322 Vector Pro. Radial, heads out.</t>
  </si>
  <si>
    <t>Rolf Track Vector Pro. Use 1.333 cross.</t>
  </si>
  <si>
    <t>Rolf Road Vector Pro. Use 1.333 cross.</t>
  </si>
  <si>
    <t>Sanshin medium flange (like Specialized)</t>
  </si>
  <si>
    <t>Shimano 105SC HB-1055-F</t>
  </si>
  <si>
    <t>Shimano 400CX HB-C400</t>
  </si>
  <si>
    <t>Shimano 700CX HB-C700</t>
  </si>
  <si>
    <t>Shimano Acera HB-M290</t>
  </si>
  <si>
    <t>96 or 100</t>
  </si>
  <si>
    <t>Shimano Altus C90 HB-CT90</t>
  </si>
  <si>
    <t>Shimano Deore HB-M510</t>
  </si>
  <si>
    <t>Shimano Deore XT HB-M737, HB-M738</t>
  </si>
  <si>
    <t>Shimano Dura-Ace low flange, all</t>
  </si>
  <si>
    <t>Shimano Exage HB-RM50-F, HB-RM50</t>
  </si>
  <si>
    <t>Shimano HB-NX30 hubdynamo</t>
  </si>
  <si>
    <t>Shimano Dura-Ace track high flange</t>
  </si>
  <si>
    <t>Synchros Lil' Snapper</t>
  </si>
  <si>
    <t>Martin Staines &lt;mstaines@superform-aluminium.com&gt;</t>
  </si>
  <si>
    <t xml:space="preserve">Shimano parallax </t>
  </si>
  <si>
    <t>Shimano RSX HB-A410</t>
  </si>
  <si>
    <t>Shimano RX100 HB-A550-F</t>
  </si>
  <si>
    <t xml:space="preserve">Shimano Santé </t>
  </si>
  <si>
    <t>Shimano STX HB-MC32</t>
  </si>
  <si>
    <t>Shimano STX-RC. HB-MC33-S, HB-MC33</t>
  </si>
  <si>
    <t>American Classic HD-140 disc</t>
  </si>
  <si>
    <t>American Classic HD-240 Ultra-Light, 135mm Disk</t>
  </si>
  <si>
    <t>American Classic Micro, newer wider version</t>
  </si>
  <si>
    <t>American Classic HH-120 suspension</t>
  </si>
  <si>
    <t>Bontrager Road PN 240001 prototype 122g</t>
  </si>
  <si>
    <t>American Classic Suspension small flange</t>
  </si>
  <si>
    <t>www.sun-ringle.com</t>
  </si>
  <si>
    <t>Sun-Ringlé ABBAH S.O.S. DH (20mm thru axle)</t>
  </si>
  <si>
    <t>Sun-Ringlé ABBAH S.O.S. XC (9mm axle ends)</t>
  </si>
  <si>
    <t>Sun-Ringlé Attila the hub (BMX)</t>
  </si>
  <si>
    <t xml:space="preserve">Sun-Ringlé SuperDuper Bubba </t>
  </si>
  <si>
    <t>Sun-Ringlé 439/439 Lite</t>
  </si>
  <si>
    <t>Sun-Ringlé ABBAH / Lawwill DH (12mm thru axle)</t>
  </si>
  <si>
    <t>Sun-Ringlé Atilla the Hub</t>
  </si>
  <si>
    <t>Sun-Ringlé ABBAH S.O.S. XC</t>
  </si>
  <si>
    <t>Shimano Ultegra HB-6500</t>
  </si>
  <si>
    <t>Shimano XT Disc</t>
  </si>
  <si>
    <t>Shimano XT-II, DX</t>
  </si>
  <si>
    <t>Shimano XTR HB-M950</t>
  </si>
  <si>
    <t xml:space="preserve">SON 20-28" hubdynamo (2000 model) </t>
  </si>
  <si>
    <t xml:space="preserve">Specialized low flange </t>
  </si>
  <si>
    <t xml:space="preserve">Specialized medium flange </t>
  </si>
  <si>
    <t>SRAM 2001 non-disc hubs</t>
  </si>
  <si>
    <t>Zipp 250 24.8mm deep carbon tubular</t>
  </si>
  <si>
    <t>Zipp</t>
  </si>
  <si>
    <t>SRAM 9.0SL, Disc</t>
  </si>
  <si>
    <t>SRAM Plasma, Quartz, Neos, Centera, Traax</t>
  </si>
  <si>
    <t xml:space="preserve">Sturmey-Archer dyno </t>
  </si>
  <si>
    <t xml:space="preserve">Sturmey-Archer hi brake </t>
  </si>
  <si>
    <t xml:space="preserve">Suntour high flange track </t>
  </si>
  <si>
    <t>Suntour XCD-6000</t>
  </si>
  <si>
    <t>Surly 1x1</t>
  </si>
  <si>
    <t xml:space="preserve">Syncros disc brake </t>
  </si>
  <si>
    <t>TNT standard</t>
  </si>
  <si>
    <t>TNT suspension</t>
  </si>
  <si>
    <t>TruVative Disc Sealex SL FH-DISCX-SL-00</t>
  </si>
  <si>
    <t>TruVative Sealex SL FH-SEAL-SL-00</t>
  </si>
  <si>
    <t>TruVative Sealex XR FH-SEAL-XR-00</t>
  </si>
  <si>
    <t>Tune MIG 66 74gr</t>
  </si>
  <si>
    <t>Ultimate Machine Co. road</t>
  </si>
  <si>
    <t xml:space="preserve">Wheelsmith Bullet </t>
  </si>
  <si>
    <t>White Industries road</t>
  </si>
  <si>
    <t xml:space="preserve">White Industries Ti </t>
  </si>
  <si>
    <t xml:space="preserve">White Industries Tracker </t>
  </si>
  <si>
    <t xml:space="preserve">Wilderness Trails classic narrow </t>
  </si>
  <si>
    <t xml:space="preserve">Wilderness Trails classic standard </t>
  </si>
  <si>
    <t>Bontrager PN 250032 RXXXL OCLV Carbon Clincher Front w/SS washer (.82mm thick)</t>
  </si>
  <si>
    <t>Bontrager PN 250033 RXXXL OCLV Carbon Clincher OSB Rear w/SS washer (.82mm thick)</t>
  </si>
  <si>
    <t xml:space="preserve">Wilderness Trails classic wide </t>
  </si>
  <si>
    <t xml:space="preserve">Wilderness Trails Momentum </t>
  </si>
  <si>
    <t>Bontrager PN 243756 RXL Aero Clincher</t>
  </si>
  <si>
    <t>Bontrager Road PN 230850, RXL Aero</t>
  </si>
  <si>
    <t>Wilderness Trails New Paradigm large flange</t>
  </si>
  <si>
    <t>Wilderness Trails New Paradigm small flange</t>
  </si>
  <si>
    <t xml:space="preserve">Winners lo flange </t>
  </si>
  <si>
    <t>Zipp 100</t>
  </si>
  <si>
    <t>n/a</t>
  </si>
  <si>
    <t>Schwinn unicycle hub</t>
  </si>
  <si>
    <t>Suzue unicycle hub</t>
  </si>
  <si>
    <t>R</t>
  </si>
  <si>
    <t>6,7</t>
  </si>
  <si>
    <t>American Classic track</t>
  </si>
  <si>
    <t>8,9</t>
  </si>
  <si>
    <t>WTB LaserDisc DH 36x0 (32h, 36mm wide)</t>
  </si>
  <si>
    <t>WTB LaserDisc XC 24x0 (32h, 24mm wide)</t>
  </si>
  <si>
    <t>WTB LaserBeam 22x11.8 (32h, 22mm wide)</t>
  </si>
  <si>
    <t>WTB LaserBeam 25x11.3 (32h, 25mm wide)</t>
  </si>
  <si>
    <t xml:space="preserve">WTB SpeedMaster 23x11.3 (32h, 23mm wide) </t>
  </si>
  <si>
    <t>WTB SpeedDisc XC 24x0 (32h, 24mm wide)</t>
  </si>
  <si>
    <t>WTB Dual Duty 30x11.8 (32h, 30mm wide)</t>
  </si>
  <si>
    <t xml:space="preserve">WTB SpeedMaster 21x11.3 700c (32h, 21mm wide) </t>
  </si>
  <si>
    <t>thaft@wtb.com</t>
  </si>
  <si>
    <t xml:space="preserve">WTB PowerBeam </t>
  </si>
  <si>
    <t>WTB PowerBeam (old)</t>
  </si>
  <si>
    <t>Bontrager ATB PN 220197 Race by Formula (sealed bearings)</t>
  </si>
  <si>
    <t>Bontrager PN 231714 Race X-Lite symmetrical</t>
  </si>
  <si>
    <t>Bontrager PN 231248 Race X-Lite OSB</t>
  </si>
  <si>
    <t>American Classic Ultra-Light, 130mm</t>
  </si>
  <si>
    <t>American Classic Ultra-Light, 135mm</t>
  </si>
  <si>
    <t>Bullseye 126mm 6speed</t>
  </si>
  <si>
    <t>Bullseye 130mm 7speed</t>
  </si>
  <si>
    <t>Campagnolo 8-speed cassette</t>
  </si>
  <si>
    <t xml:space="preserve">Campagnolo all 120mm hi-flange models </t>
  </si>
  <si>
    <t xml:space="preserve">Campagnolo all 126mm hi-flange models </t>
  </si>
  <si>
    <t>Campagnolo Athena, Chorus, Nuovo Record low flange</t>
  </si>
  <si>
    <t>Bontrager Road PN 220407 Select</t>
  </si>
  <si>
    <t>Bontrager PN 220437 Select OSB</t>
  </si>
  <si>
    <t>Campagnolo Centaur 8 spd cassette</t>
  </si>
  <si>
    <t>Bontrager ATB Race X-Lite by Chris King</t>
  </si>
  <si>
    <t>Campagnolo Centaur, Euclid</t>
  </si>
  <si>
    <t>Campagnolo C-Record low flange</t>
  </si>
  <si>
    <t>Campagnolo Hi-Lo</t>
  </si>
  <si>
    <t>Campagnolo tandem cassette</t>
  </si>
  <si>
    <t xml:space="preserve">Campagnolo track hi-flange C Record </t>
  </si>
  <si>
    <t xml:space="preserve">Campagnolo track hi-flange Nuovo Record </t>
  </si>
  <si>
    <t>Campagnolo track low flange</t>
  </si>
  <si>
    <t>Cannondale Moto120</t>
  </si>
  <si>
    <t>Ritchey Rock 700 Pro (ERD is Nipple Seat Dia + 3mm for nipples)</t>
  </si>
  <si>
    <t>Rigida M 19 (ERD is Rigida's Nipple Seat Dia + 3mm for nipples)</t>
  </si>
  <si>
    <t>Rigida M 21 (ERD is Rigida's Nipple Seat Dia + 3mm for nipples)</t>
  </si>
  <si>
    <t>Rigida AS 26 FL (ERD is Rigida's Nipple Seat Dia + 3mm for nipples)</t>
  </si>
  <si>
    <t>Rigida X PLORER (ERD is Rigida's Nipple Seat Dia + 3mm for nipples)</t>
  </si>
  <si>
    <t>Rigida AS 23 X (ERD is Rigida's Nipple Seat Dia + 3mm for nipples)</t>
  </si>
  <si>
    <t>Rigida DH 30 (ERD is Rigida's Nipple Seat Dia + 3mm for nipples)</t>
  </si>
  <si>
    <t>Rigida ARIES (ERD is Rigida's Nipple Seat Dia + 3mm for nipples)</t>
  </si>
  <si>
    <t>Rigida AS 26 F (ERD is Rigida's Nipple Seat Dia + 3mm for nipples)</t>
  </si>
  <si>
    <t>Rigida DP 2000 (ERD is Rigida's Nipple Seat Dia + 3mm for nipples)</t>
  </si>
  <si>
    <t>Rigida DP 22 (ERD is Rigida's Nipple Seat Dia + 3mm for nipples)</t>
  </si>
  <si>
    <t>Rigida DP 25 (ERD is Rigida's Nipple Seat Dia + 3mm for nipples)</t>
  </si>
  <si>
    <t>Rigida GENIUS (ERD is Rigida's Nipple Seat Dia + 3mm for nipples)</t>
  </si>
  <si>
    <t>Rigida GRIFFIN (ERD is Rigida's Nipple Seat Dia + 3mm for nipples)</t>
  </si>
  <si>
    <t>Rigida GRIZZLY (ERD is Rigida's Nipple Seat Dia + 3mm for nipples)</t>
  </si>
  <si>
    <t>Rigida LIBRA (ERD is Rigida's Nipple Seat Dia + 3mm for nipples)</t>
  </si>
  <si>
    <t>Rigida MENSA (ERD is Rigida's Nipple Seat Dia + 3mm for nipples)</t>
  </si>
  <si>
    <t>Rigida NORMA (ERD is Rigida's Nipple Seat Dia + 3mm for nipples)</t>
  </si>
  <si>
    <t>Rigida OLYMPUS (ERD is Rigida's Nipple Seat Dia + 3mm for nipples)</t>
  </si>
  <si>
    <t>Rigida ORION (ERD is Rigida's Nipple Seat Dia + 3mm for nipples)</t>
  </si>
  <si>
    <t>Shimano Deore XT HB-M756L</t>
  </si>
  <si>
    <t>Rigida PHOENIX (ERD is Rigida's Nipple Seat Dia + 3mm for nipples)</t>
  </si>
  <si>
    <t>Rigida SIRIUS (ERD is Rigida's Nipple Seat Dia + 3mm for nipples)</t>
  </si>
  <si>
    <t>Rigida SLP (ERD is Rigida's Nipple Seat Dia + 3mm for nipples)</t>
  </si>
  <si>
    <t>Rigida TAURUS (ERD is Rigida's Nipple Seat Dia + 3mm for nipples)</t>
  </si>
  <si>
    <t>Rigida TAURUS 2000 (ERD is Rigida's Nipple Seat Dia + 3mm for nipples)</t>
  </si>
  <si>
    <t>http://sheldonbrown.com/rinard/spocalc.htm</t>
  </si>
  <si>
    <t>if you have additons, corrections, questions or other feedback.</t>
  </si>
  <si>
    <t>Please contact sheldonbrown.com</t>
  </si>
  <si>
    <t>Spocalc.xls is an Excel workbook I made.  It works like any other Excel workbook.</t>
  </si>
  <si>
    <t>for your invaluable help in developing this spreadsheet -- Damon Rinard</t>
  </si>
  <si>
    <t>This workbook as well as other versions are online at</t>
  </si>
  <si>
    <t>Spocalc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</si>
</sst>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00"/>
    <numFmt numFmtId="168" formatCode="0.0000000"/>
    <numFmt numFmtId="169" formatCode="0.000000"/>
    <numFmt numFmtId="170" formatCode="0.00000"/>
    <numFmt numFmtId="171" formatCode="0.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.##&quot;º&quot;"/>
    <numFmt numFmtId="178" formatCode="#.###&quot;º&quot;"/>
    <numFmt numFmtId="179" formatCode="#.####&quot;º&quot;"/>
    <numFmt numFmtId="180" formatCode="#.#&quot;º&quot;"/>
    <numFmt numFmtId="181" formatCode="[$-409]dddd\,\ mmmm\ dd\,\ yyyy"/>
    <numFmt numFmtId="182" formatCode="[$-409]d\-mmm\-yyyy;@"/>
    <numFmt numFmtId="183" formatCode="m/d/yyyy;@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name val="Tahoma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33" borderId="10" xfId="0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Continuous"/>
    </xf>
    <xf numFmtId="165" fontId="1" fillId="33" borderId="11" xfId="0" applyNumberFormat="1" applyFont="1" applyFill="1" applyBorder="1" applyAlignment="1">
      <alignment horizontal="centerContinuous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1" fillId="33" borderId="1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33" borderId="18" xfId="0" applyFont="1" applyFill="1" applyBorder="1" applyAlignment="1">
      <alignment/>
    </xf>
    <xf numFmtId="16" fontId="0" fillId="0" borderId="0" xfId="0" applyNumberFormat="1" applyFont="1" applyAlignment="1" applyProtection="1" quotePrefix="1">
      <alignment horizontal="center"/>
      <protection locked="0"/>
    </xf>
    <xf numFmtId="0" fontId="0" fillId="0" borderId="0" xfId="0" applyFont="1" applyAlignment="1" applyProtection="1" quotePrefix="1">
      <alignment horizontal="center"/>
      <protection locked="0"/>
    </xf>
    <xf numFmtId="16" fontId="0" fillId="0" borderId="0" xfId="0" applyNumberFormat="1" applyFont="1" applyAlignment="1" applyProtection="1">
      <alignment horizontal="center"/>
      <protection locked="0"/>
    </xf>
    <xf numFmtId="16" fontId="0" fillId="0" borderId="0" xfId="0" applyNumberFormat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25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/>
      <protection/>
    </xf>
    <xf numFmtId="0" fontId="0" fillId="34" borderId="27" xfId="0" applyFont="1" applyFill="1" applyBorder="1" applyAlignment="1" applyProtection="1">
      <alignment/>
      <protection/>
    </xf>
    <xf numFmtId="0" fontId="1" fillId="33" borderId="15" xfId="0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 horizontal="center"/>
    </xf>
    <xf numFmtId="165" fontId="1" fillId="33" borderId="16" xfId="0" applyNumberFormat="1" applyFont="1" applyFill="1" applyBorder="1" applyAlignment="1">
      <alignment horizontal="center"/>
    </xf>
    <xf numFmtId="0" fontId="1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165" fontId="1" fillId="0" borderId="29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/>
      <protection/>
    </xf>
    <xf numFmtId="165" fontId="1" fillId="0" borderId="33" xfId="0" applyNumberFormat="1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165" fontId="9" fillId="0" borderId="29" xfId="0" applyNumberFormat="1" applyFont="1" applyFill="1" applyBorder="1" applyAlignment="1" applyProtection="1">
      <alignment horizontal="center"/>
      <protection/>
    </xf>
    <xf numFmtId="165" fontId="9" fillId="0" borderId="33" xfId="0" applyNumberFormat="1" applyFont="1" applyFill="1" applyBorder="1" applyAlignment="1" applyProtection="1">
      <alignment horizontal="center"/>
      <protection/>
    </xf>
    <xf numFmtId="165" fontId="0" fillId="0" borderId="29" xfId="0" applyNumberFormat="1" applyFont="1" applyFill="1" applyBorder="1" applyAlignment="1" applyProtection="1">
      <alignment horizontal="center"/>
      <protection/>
    </xf>
    <xf numFmtId="165" fontId="0" fillId="0" borderId="35" xfId="0" applyNumberFormat="1" applyFont="1" applyFill="1" applyBorder="1" applyAlignment="1" applyProtection="1">
      <alignment horizontal="center"/>
      <protection/>
    </xf>
    <xf numFmtId="2" fontId="10" fillId="0" borderId="29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left"/>
      <protection locked="0"/>
    </xf>
    <xf numFmtId="1" fontId="0" fillId="35" borderId="19" xfId="0" applyNumberFormat="1" applyFont="1" applyFill="1" applyBorder="1" applyAlignment="1" applyProtection="1">
      <alignment horizontal="center"/>
      <protection locked="0"/>
    </xf>
    <xf numFmtId="165" fontId="0" fillId="35" borderId="29" xfId="0" applyNumberFormat="1" applyFont="1" applyFill="1" applyBorder="1" applyAlignment="1" applyProtection="1">
      <alignment horizontal="center"/>
      <protection locked="0"/>
    </xf>
    <xf numFmtId="2" fontId="0" fillId="35" borderId="29" xfId="0" applyNumberFormat="1" applyFont="1" applyFill="1" applyBorder="1" applyAlignment="1" applyProtection="1">
      <alignment horizontal="center"/>
      <protection locked="0"/>
    </xf>
    <xf numFmtId="165" fontId="0" fillId="35" borderId="0" xfId="0" applyNumberFormat="1" applyFont="1" applyFill="1" applyBorder="1" applyAlignment="1" applyProtection="1">
      <alignment horizontal="center"/>
      <protection locked="0"/>
    </xf>
    <xf numFmtId="0" fontId="0" fillId="35" borderId="29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>
      <alignment horizontal="left" wrapText="1"/>
    </xf>
    <xf numFmtId="0" fontId="0" fillId="0" borderId="0" xfId="0" applyFont="1" applyAlignment="1" applyProtection="1">
      <alignment wrapText="1"/>
      <protection locked="0"/>
    </xf>
    <xf numFmtId="3" fontId="11" fillId="0" borderId="0" xfId="0" applyNumberFormat="1" applyFont="1" applyAlignment="1" applyProtection="1">
      <alignment horizontal="center"/>
      <protection locked="0"/>
    </xf>
    <xf numFmtId="0" fontId="5" fillId="0" borderId="0" xfId="53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165" fontId="0" fillId="34" borderId="12" xfId="0" applyNumberFormat="1" applyFont="1" applyFill="1" applyBorder="1" applyAlignment="1">
      <alignment horizontal="center"/>
    </xf>
    <xf numFmtId="165" fontId="0" fillId="0" borderId="0" xfId="0" applyNumberFormat="1" applyFont="1" applyAlignment="1" applyProtection="1">
      <alignment horizontal="center"/>
      <protection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53" applyAlignment="1" applyProtection="1">
      <alignment horizontal="left"/>
      <protection/>
    </xf>
    <xf numFmtId="3" fontId="0" fillId="0" borderId="0" xfId="0" applyNumberFormat="1" applyFont="1" applyAlignment="1" applyProtection="1">
      <alignment horizontal="center" wrapText="1"/>
      <protection locked="0"/>
    </xf>
    <xf numFmtId="0" fontId="5" fillId="0" borderId="0" xfId="53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34" borderId="29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5" fontId="0" fillId="0" borderId="15" xfId="0" applyNumberFormat="1" applyFont="1" applyBorder="1" applyAlignment="1" applyProtection="1">
      <alignment/>
      <protection/>
    </xf>
    <xf numFmtId="165" fontId="0" fillId="0" borderId="18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180" fontId="0" fillId="35" borderId="29" xfId="0" applyNumberFormat="1" applyFont="1" applyFill="1" applyBorder="1" applyAlignment="1" applyProtection="1">
      <alignment horizontal="center"/>
      <protection locked="0"/>
    </xf>
    <xf numFmtId="9" fontId="0" fillId="0" borderId="0" xfId="59" applyFont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180" fontId="0" fillId="0" borderId="0" xfId="0" applyNumberFormat="1" applyFont="1" applyBorder="1" applyAlignment="1" applyProtection="1">
      <alignment horizontal="center"/>
      <protection/>
    </xf>
    <xf numFmtId="9" fontId="0" fillId="0" borderId="16" xfId="59" applyFont="1" applyBorder="1" applyAlignment="1" applyProtection="1">
      <alignment horizontal="center"/>
      <protection/>
    </xf>
    <xf numFmtId="180" fontId="0" fillId="0" borderId="13" xfId="0" applyNumberFormat="1" applyFont="1" applyBorder="1" applyAlignment="1" applyProtection="1">
      <alignment horizontal="center"/>
      <protection/>
    </xf>
    <xf numFmtId="9" fontId="0" fillId="0" borderId="17" xfId="59" applyFont="1" applyBorder="1" applyAlignment="1" applyProtection="1">
      <alignment horizontal="center"/>
      <protection/>
    </xf>
    <xf numFmtId="180" fontId="0" fillId="0" borderId="12" xfId="0" applyNumberFormat="1" applyFont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1" fillId="0" borderId="29" xfId="0" applyFont="1" applyFill="1" applyBorder="1" applyAlignment="1" applyProtection="1">
      <alignment horizontal="center"/>
      <protection/>
    </xf>
    <xf numFmtId="9" fontId="10" fillId="0" borderId="29" xfId="59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 locked="0"/>
    </xf>
    <xf numFmtId="182" fontId="0" fillId="0" borderId="0" xfId="0" applyNumberFormat="1" applyFont="1" applyAlignment="1">
      <alignment/>
    </xf>
    <xf numFmtId="183" fontId="0" fillId="0" borderId="0" xfId="0" applyNumberFormat="1" applyFont="1" applyAlignment="1" applyProtection="1">
      <alignment/>
      <protection locked="0"/>
    </xf>
    <xf numFmtId="182" fontId="0" fillId="0" borderId="0" xfId="0" applyNumberFormat="1" applyFont="1" applyAlignment="1" applyProtection="1">
      <alignment/>
      <protection locked="0"/>
    </xf>
    <xf numFmtId="15" fontId="0" fillId="0" borderId="0" xfId="0" applyNumberFormat="1" applyFont="1" applyBorder="1" applyAlignment="1">
      <alignment/>
    </xf>
    <xf numFmtId="15" fontId="0" fillId="0" borderId="0" xfId="0" applyNumberFormat="1" applyFont="1" applyAlignment="1" applyProtection="1">
      <alignment/>
      <protection locked="0"/>
    </xf>
    <xf numFmtId="0" fontId="5" fillId="0" borderId="0" xfId="53" applyFont="1" applyAlignment="1" applyProtection="1">
      <alignment horizontal="left"/>
      <protection/>
    </xf>
    <xf numFmtId="0" fontId="5" fillId="0" borderId="0" xfId="53" applyFill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5" fillId="33" borderId="15" xfId="53" applyFill="1" applyBorder="1" applyAlignment="1" applyProtection="1">
      <alignment/>
      <protection/>
    </xf>
    <xf numFmtId="0" fontId="0" fillId="0" borderId="0" xfId="0" applyAlignment="1">
      <alignment/>
    </xf>
    <xf numFmtId="0" fontId="13" fillId="0" borderId="0" xfId="53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eldonbrown.com/contact.html" TargetMode="External" /><Relationship Id="rId2" Type="http://schemas.openxmlformats.org/officeDocument/2006/relationships/hyperlink" Target="http://sheldonbrown.com/rinard/spocalc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heldonbrown.com/rinard/spocalc.ht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ox-muller@comcast.net" TargetMode="External" /><Relationship Id="rId2" Type="http://schemas.openxmlformats.org/officeDocument/2006/relationships/hyperlink" Target="mailto:velocity@velocityusa.com" TargetMode="External" /><Relationship Id="rId3" Type="http://schemas.openxmlformats.org/officeDocument/2006/relationships/hyperlink" Target="mailto:Kelly_Paasch@und.nodak.edu" TargetMode="External" /><Relationship Id="rId4" Type="http://schemas.openxmlformats.org/officeDocument/2006/relationships/hyperlink" Target="mailto:barsiantony@hotmail.com" TargetMode="External" /><Relationship Id="rId5" Type="http://schemas.openxmlformats.org/officeDocument/2006/relationships/hyperlink" Target="mailto:nick@nickpashley.com" TargetMode="External" /><Relationship Id="rId6" Type="http://schemas.openxmlformats.org/officeDocument/2006/relationships/hyperlink" Target="mailto:Kuthan.Kan@egco.com" TargetMode="External" /><Relationship Id="rId7" Type="http://schemas.openxmlformats.org/officeDocument/2006/relationships/hyperlink" Target="mailto:Kuthan.Kan@egco.com" TargetMode="External" /><Relationship Id="rId8" Type="http://schemas.openxmlformats.org/officeDocument/2006/relationships/hyperlink" Target="mailto:Kuthan.Kan@egco.com" TargetMode="External" /><Relationship Id="rId9" Type="http://schemas.openxmlformats.org/officeDocument/2006/relationships/hyperlink" Target="mailto:Kuthan.Kan@egco.com" TargetMode="External" /><Relationship Id="rId10" Type="http://schemas.openxmlformats.org/officeDocument/2006/relationships/hyperlink" Target="mailto:Kuthan.Kan@egco.com" TargetMode="External" /><Relationship Id="rId11" Type="http://schemas.openxmlformats.org/officeDocument/2006/relationships/hyperlink" Target="mailto:Kuthan.Kan@egco.com" TargetMode="External" /><Relationship Id="rId12" Type="http://schemas.openxmlformats.org/officeDocument/2006/relationships/hyperlink" Target="mailto:Kuthan.Kan@egco.com" TargetMode="External" /><Relationship Id="rId13" Type="http://schemas.openxmlformats.org/officeDocument/2006/relationships/hyperlink" Target="mailto:Kuthan.Kan@egco.com" TargetMode="External" /><Relationship Id="rId14" Type="http://schemas.openxmlformats.org/officeDocument/2006/relationships/hyperlink" Target="mailto:Kuthan.Kan@egco.com" TargetMode="External" /><Relationship Id="rId15" Type="http://schemas.openxmlformats.org/officeDocument/2006/relationships/hyperlink" Target="mailto:Kuthan.Kan@egco.com" TargetMode="External" /><Relationship Id="rId16" Type="http://schemas.openxmlformats.org/officeDocument/2006/relationships/hyperlink" Target="mailto:David.Kahn@tomy.co.uk" TargetMode="External" /><Relationship Id="rId17" Type="http://schemas.openxmlformats.org/officeDocument/2006/relationships/hyperlink" Target="http://www.salsacycles.com/comps_rims.html" TargetMode="Externa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aptBike@sheldonbrown.com" TargetMode="External" /><Relationship Id="rId2" Type="http://schemas.openxmlformats.org/officeDocument/2006/relationships/hyperlink" Target="mailto:CaptBike@sheldonbrown.com" TargetMode="External" /><Relationship Id="rId3" Type="http://schemas.openxmlformats.org/officeDocument/2006/relationships/hyperlink" Target="mailto:CaptBike@sheldonbrown.com" TargetMode="External" /><Relationship Id="rId4" Type="http://schemas.openxmlformats.org/officeDocument/2006/relationships/hyperlink" Target="mailto:CaptBike@sheldonbrown.com" TargetMode="External" /><Relationship Id="rId5" Type="http://schemas.openxmlformats.org/officeDocument/2006/relationships/hyperlink" Target="mailto:CaptBike@sheldonbrown.com" TargetMode="External" /><Relationship Id="rId6" Type="http://schemas.openxmlformats.org/officeDocument/2006/relationships/hyperlink" Target="mailto:barsiantony@hotmail.com" TargetMode="External" /><Relationship Id="rId7" Type="http://schemas.openxmlformats.org/officeDocument/2006/relationships/hyperlink" Target="mailto:barsiantony@hotmail.com" TargetMode="External" /><Relationship Id="rId8" Type="http://schemas.openxmlformats.org/officeDocument/2006/relationships/hyperlink" Target="mailto:CaptBike@sheldonbrown.com" TargetMode="External" /><Relationship Id="rId9" Type="http://schemas.openxmlformats.org/officeDocument/2006/relationships/hyperlink" Target="mailto:OKVELO@aol.com" TargetMode="External" /><Relationship Id="rId10" Type="http://schemas.openxmlformats.org/officeDocument/2006/relationships/hyperlink" Target="http://www.shimano.com/" TargetMode="External" /><Relationship Id="rId11" Type="http://schemas.openxmlformats.org/officeDocument/2006/relationships/hyperlink" Target="mailto:info@m-gineering.nl" TargetMode="External" /><Relationship Id="rId12" Type="http://schemas.openxmlformats.org/officeDocument/2006/relationships/comments" Target="../comments4.xml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5"/>
  <sheetViews>
    <sheetView tabSelected="1" zoomScalePageLayoutView="0" workbookViewId="0" topLeftCell="A1">
      <selection activeCell="M37" sqref="M37"/>
    </sheetView>
  </sheetViews>
  <sheetFormatPr defaultColWidth="8.8515625" defaultRowHeight="12.75"/>
  <cols>
    <col min="1" max="8" width="8.8515625" style="0" customWidth="1"/>
    <col min="9" max="9" width="9.7109375" style="0" customWidth="1"/>
  </cols>
  <sheetData>
    <row r="1" spans="1:9" ht="23.25">
      <c r="A1" s="142" t="s">
        <v>1644</v>
      </c>
      <c r="B1" s="143"/>
      <c r="C1" s="143"/>
      <c r="D1" s="143"/>
      <c r="E1" s="143"/>
      <c r="F1" s="143"/>
      <c r="G1" s="143"/>
      <c r="H1" s="143"/>
      <c r="I1" s="144"/>
    </row>
    <row r="2" spans="1:9" ht="12.75">
      <c r="A2" s="140" t="s">
        <v>1641</v>
      </c>
      <c r="B2" s="28"/>
      <c r="C2" s="28"/>
      <c r="D2" s="28"/>
      <c r="E2" s="28"/>
      <c r="F2" s="28"/>
      <c r="G2" s="28"/>
      <c r="H2" s="28"/>
      <c r="I2" s="29"/>
    </row>
    <row r="3" spans="1:9" ht="12.75">
      <c r="A3" s="27" t="s">
        <v>603</v>
      </c>
      <c r="B3" s="28"/>
      <c r="C3" s="28"/>
      <c r="D3" s="28"/>
      <c r="E3" s="28"/>
      <c r="F3" s="28"/>
      <c r="G3" s="28"/>
      <c r="H3" s="28"/>
      <c r="I3" s="29"/>
    </row>
    <row r="4" spans="1:9" ht="12.75">
      <c r="A4" s="27" t="s">
        <v>604</v>
      </c>
      <c r="B4" s="28"/>
      <c r="C4" s="28"/>
      <c r="D4" s="28"/>
      <c r="E4" s="28"/>
      <c r="F4" s="28"/>
      <c r="G4" s="28"/>
      <c r="H4" s="28"/>
      <c r="I4" s="29"/>
    </row>
    <row r="5" spans="1:9" ht="12.75">
      <c r="A5" s="27" t="s">
        <v>605</v>
      </c>
      <c r="B5" s="28"/>
      <c r="C5" s="28"/>
      <c r="D5" s="28"/>
      <c r="E5" s="28"/>
      <c r="F5" s="28"/>
      <c r="G5" s="28"/>
      <c r="H5" s="28"/>
      <c r="I5" s="29"/>
    </row>
    <row r="6" spans="1:9" ht="12.75">
      <c r="A6" s="27"/>
      <c r="B6" s="28"/>
      <c r="C6" s="28"/>
      <c r="D6" s="28"/>
      <c r="E6" s="28"/>
      <c r="F6" s="28"/>
      <c r="G6" s="28"/>
      <c r="H6" s="28"/>
      <c r="I6" s="29"/>
    </row>
    <row r="7" spans="1:9" ht="12.75">
      <c r="A7" s="27" t="s">
        <v>606</v>
      </c>
      <c r="B7" s="28"/>
      <c r="C7" s="28"/>
      <c r="D7" s="28"/>
      <c r="E7" s="28"/>
      <c r="F7" s="28"/>
      <c r="G7" s="28"/>
      <c r="H7" s="28"/>
      <c r="I7" s="29"/>
    </row>
    <row r="8" spans="1:9" ht="12.75">
      <c r="A8" s="27" t="s">
        <v>608</v>
      </c>
      <c r="B8" s="28"/>
      <c r="C8" s="28"/>
      <c r="D8" s="28"/>
      <c r="E8" s="28"/>
      <c r="F8" s="28"/>
      <c r="G8" s="28"/>
      <c r="H8" s="28"/>
      <c r="I8" s="29"/>
    </row>
    <row r="9" spans="1:9" ht="12.75">
      <c r="A9" s="27" t="s">
        <v>936</v>
      </c>
      <c r="B9" s="28"/>
      <c r="C9" s="28"/>
      <c r="D9" s="28"/>
      <c r="E9" s="28"/>
      <c r="F9" s="28"/>
      <c r="G9" s="28"/>
      <c r="H9" s="28"/>
      <c r="I9" s="29"/>
    </row>
    <row r="10" spans="1:9" ht="12.75">
      <c r="A10" s="27" t="s">
        <v>937</v>
      </c>
      <c r="B10" s="28"/>
      <c r="C10" s="28"/>
      <c r="D10" s="28"/>
      <c r="E10" s="28"/>
      <c r="F10" s="28"/>
      <c r="G10" s="28"/>
      <c r="H10" s="28"/>
      <c r="I10" s="29"/>
    </row>
    <row r="11" spans="1:9" ht="12.75">
      <c r="A11" s="27" t="s">
        <v>609</v>
      </c>
      <c r="B11" s="28"/>
      <c r="C11" s="28"/>
      <c r="D11" s="28"/>
      <c r="E11" s="28"/>
      <c r="F11" s="28"/>
      <c r="G11" s="28"/>
      <c r="H11" s="28"/>
      <c r="I11" s="29"/>
    </row>
    <row r="12" spans="1:9" ht="12.75">
      <c r="A12" s="44"/>
      <c r="B12" s="28"/>
      <c r="C12" s="28"/>
      <c r="D12" s="28"/>
      <c r="E12" s="28"/>
      <c r="F12" s="28"/>
      <c r="G12" s="28"/>
      <c r="H12" s="28"/>
      <c r="I12" s="29"/>
    </row>
    <row r="13" spans="1:9" ht="12.75">
      <c r="A13" s="27" t="s">
        <v>611</v>
      </c>
      <c r="B13" s="28"/>
      <c r="C13" s="28"/>
      <c r="D13" s="28"/>
      <c r="E13" s="28"/>
      <c r="F13" s="28"/>
      <c r="G13" s="28"/>
      <c r="H13" s="28"/>
      <c r="I13" s="29"/>
    </row>
    <row r="14" spans="1:9" ht="12.75">
      <c r="A14" s="27" t="s">
        <v>612</v>
      </c>
      <c r="B14" s="28"/>
      <c r="C14" s="28"/>
      <c r="D14" s="28"/>
      <c r="E14" s="28"/>
      <c r="F14" s="28"/>
      <c r="G14" s="28"/>
      <c r="H14" s="28"/>
      <c r="I14" s="29"/>
    </row>
    <row r="15" spans="1:9" ht="12.75">
      <c r="A15" s="27" t="s">
        <v>947</v>
      </c>
      <c r="B15" s="28"/>
      <c r="C15" s="28"/>
      <c r="D15" s="28"/>
      <c r="E15" s="28"/>
      <c r="F15" s="28"/>
      <c r="G15" s="28"/>
      <c r="H15" s="28"/>
      <c r="I15" s="29"/>
    </row>
    <row r="16" spans="1:9" ht="12.75">
      <c r="A16" s="27"/>
      <c r="B16" s="28"/>
      <c r="C16" s="28"/>
      <c r="D16" s="28"/>
      <c r="E16" s="28"/>
      <c r="F16" s="28"/>
      <c r="G16" s="28"/>
      <c r="H16" s="28"/>
      <c r="I16" s="29"/>
    </row>
    <row r="17" spans="1:9" ht="12.75">
      <c r="A17" s="27" t="s">
        <v>629</v>
      </c>
      <c r="B17" s="28"/>
      <c r="C17" s="28"/>
      <c r="D17" s="28"/>
      <c r="E17" s="28"/>
      <c r="F17" s="28"/>
      <c r="G17" s="28"/>
      <c r="H17" s="28"/>
      <c r="I17" s="29"/>
    </row>
    <row r="18" spans="1:9" ht="12.75">
      <c r="A18" s="27" t="s">
        <v>630</v>
      </c>
      <c r="B18" s="28"/>
      <c r="C18" s="28"/>
      <c r="D18" s="28"/>
      <c r="E18" s="28"/>
      <c r="F18" s="28"/>
      <c r="G18" s="28"/>
      <c r="H18" s="28"/>
      <c r="I18" s="29"/>
    </row>
    <row r="19" spans="1:9" ht="12.75">
      <c r="A19" s="27"/>
      <c r="B19" s="28"/>
      <c r="C19" s="28"/>
      <c r="D19" s="28"/>
      <c r="E19" s="28"/>
      <c r="F19" s="28"/>
      <c r="G19" s="28"/>
      <c r="H19" s="28"/>
      <c r="I19" s="29"/>
    </row>
    <row r="20" spans="1:9" ht="12.75">
      <c r="A20" s="27" t="s">
        <v>620</v>
      </c>
      <c r="B20" s="28"/>
      <c r="C20" s="28"/>
      <c r="D20" s="28"/>
      <c r="E20" s="28"/>
      <c r="F20" s="28"/>
      <c r="G20" s="28"/>
      <c r="H20" s="28"/>
      <c r="I20" s="29"/>
    </row>
    <row r="21" spans="1:9" ht="12.75">
      <c r="A21" s="27" t="s">
        <v>621</v>
      </c>
      <c r="B21" s="28"/>
      <c r="C21" s="28"/>
      <c r="D21" s="28"/>
      <c r="E21" s="28"/>
      <c r="F21" s="28"/>
      <c r="G21" s="28"/>
      <c r="H21" s="28"/>
      <c r="I21" s="29"/>
    </row>
    <row r="22" spans="1:9" ht="12.75">
      <c r="A22" s="27"/>
      <c r="B22" s="28"/>
      <c r="C22" s="28"/>
      <c r="D22" s="28"/>
      <c r="E22" s="28"/>
      <c r="F22" s="28"/>
      <c r="G22" s="28"/>
      <c r="H22" s="28"/>
      <c r="I22" s="29"/>
    </row>
    <row r="23" spans="1:9" ht="12.75">
      <c r="A23" s="27" t="s">
        <v>631</v>
      </c>
      <c r="B23" s="28"/>
      <c r="C23" s="28"/>
      <c r="D23" s="28"/>
      <c r="E23" s="28"/>
      <c r="F23" s="28"/>
      <c r="G23" s="28"/>
      <c r="H23" s="28"/>
      <c r="I23" s="29"/>
    </row>
    <row r="24" spans="1:9" ht="12.75">
      <c r="A24" s="27" t="s">
        <v>632</v>
      </c>
      <c r="B24" s="28"/>
      <c r="C24" s="28"/>
      <c r="D24" s="28"/>
      <c r="E24" s="28"/>
      <c r="F24" s="28"/>
      <c r="G24" s="28"/>
      <c r="H24" s="28"/>
      <c r="I24" s="29"/>
    </row>
    <row r="25" spans="1:9" ht="12.75">
      <c r="A25" s="27" t="s">
        <v>633</v>
      </c>
      <c r="B25" s="28"/>
      <c r="C25" s="28"/>
      <c r="D25" s="28"/>
      <c r="E25" s="28"/>
      <c r="F25" s="28"/>
      <c r="G25" s="28"/>
      <c r="H25" s="28"/>
      <c r="I25" s="29"/>
    </row>
    <row r="26" spans="1:9" ht="12.75">
      <c r="A26" s="27" t="s">
        <v>634</v>
      </c>
      <c r="B26" s="28"/>
      <c r="C26" s="28"/>
      <c r="D26" s="28"/>
      <c r="E26" s="28"/>
      <c r="F26" s="28"/>
      <c r="G26" s="28"/>
      <c r="H26" s="28"/>
      <c r="I26" s="29"/>
    </row>
    <row r="27" spans="1:9" ht="12.75">
      <c r="A27" s="27"/>
      <c r="B27" s="28"/>
      <c r="C27" s="28"/>
      <c r="D27" s="28"/>
      <c r="E27" s="28"/>
      <c r="F27" s="28"/>
      <c r="G27" s="28"/>
      <c r="H27" s="28"/>
      <c r="I27" s="29"/>
    </row>
    <row r="28" spans="1:9" ht="12.75">
      <c r="A28" s="27" t="s">
        <v>635</v>
      </c>
      <c r="B28" s="28"/>
      <c r="C28" s="28"/>
      <c r="D28" s="28"/>
      <c r="E28" s="28"/>
      <c r="F28" s="28"/>
      <c r="G28" s="28"/>
      <c r="H28" s="28"/>
      <c r="I28" s="29"/>
    </row>
    <row r="29" spans="1:9" ht="12.75">
      <c r="A29" s="27"/>
      <c r="B29" s="28"/>
      <c r="C29" s="28"/>
      <c r="D29" s="28"/>
      <c r="E29" s="28"/>
      <c r="F29" s="28"/>
      <c r="G29" s="28"/>
      <c r="H29" s="28"/>
      <c r="I29" s="29"/>
    </row>
    <row r="30" spans="1:9" ht="12.75">
      <c r="A30" s="27" t="s">
        <v>641</v>
      </c>
      <c r="B30" s="28"/>
      <c r="C30" s="28"/>
      <c r="D30" s="28"/>
      <c r="E30" s="28"/>
      <c r="F30" s="28"/>
      <c r="G30" s="28"/>
      <c r="H30" s="28"/>
      <c r="I30" s="29"/>
    </row>
    <row r="31" spans="1:9" ht="12.75">
      <c r="A31" s="27" t="s">
        <v>642</v>
      </c>
      <c r="B31" s="28"/>
      <c r="C31" s="28"/>
      <c r="D31" s="28"/>
      <c r="E31" s="28"/>
      <c r="F31" s="28"/>
      <c r="G31" s="28"/>
      <c r="H31" s="28"/>
      <c r="I31" s="29"/>
    </row>
    <row r="32" spans="1:9" ht="12.75">
      <c r="A32" s="44"/>
      <c r="B32" s="28"/>
      <c r="C32" s="28"/>
      <c r="D32" s="28"/>
      <c r="E32" s="28"/>
      <c r="F32" s="28"/>
      <c r="G32" s="28"/>
      <c r="H32" s="28"/>
      <c r="I32" s="29"/>
    </row>
    <row r="33" spans="1:9" ht="12.75">
      <c r="A33" s="27" t="s">
        <v>643</v>
      </c>
      <c r="B33" s="28"/>
      <c r="C33" s="28"/>
      <c r="D33" s="28"/>
      <c r="E33" s="28"/>
      <c r="F33" s="28"/>
      <c r="G33" s="28"/>
      <c r="H33" s="28"/>
      <c r="I33" s="29"/>
    </row>
    <row r="34" spans="1:9" ht="12.75">
      <c r="A34" s="27"/>
      <c r="B34" s="28"/>
      <c r="C34" s="28"/>
      <c r="D34" s="28"/>
      <c r="E34" s="28"/>
      <c r="F34" s="28"/>
      <c r="G34" s="28"/>
      <c r="H34" s="28"/>
      <c r="I34" s="29"/>
    </row>
    <row r="35" spans="1:9" ht="12.75">
      <c r="A35" s="27" t="s">
        <v>644</v>
      </c>
      <c r="B35" s="28"/>
      <c r="C35" s="28"/>
      <c r="D35" s="28"/>
      <c r="E35" s="28"/>
      <c r="F35" s="28"/>
      <c r="G35" s="28"/>
      <c r="H35" s="28"/>
      <c r="I35" s="29"/>
    </row>
    <row r="36" spans="1:9" ht="12.75">
      <c r="A36" s="27" t="s">
        <v>645</v>
      </c>
      <c r="B36" s="28"/>
      <c r="C36" s="28"/>
      <c r="D36" s="28"/>
      <c r="E36" s="28"/>
      <c r="F36" s="28"/>
      <c r="G36" s="28"/>
      <c r="H36" s="28"/>
      <c r="I36" s="29"/>
    </row>
    <row r="37" spans="1:9" ht="12.75">
      <c r="A37" s="27"/>
      <c r="B37" s="28"/>
      <c r="C37" s="28"/>
      <c r="D37" s="28"/>
      <c r="E37" s="28"/>
      <c r="F37" s="28"/>
      <c r="G37" s="28"/>
      <c r="H37" s="28"/>
      <c r="I37" s="29"/>
    </row>
    <row r="38" spans="1:9" ht="12.75">
      <c r="A38" s="140" t="s">
        <v>1643</v>
      </c>
      <c r="B38" s="28"/>
      <c r="C38" s="28"/>
      <c r="D38" s="28"/>
      <c r="E38" s="28"/>
      <c r="F38" s="28"/>
      <c r="G38" s="28"/>
      <c r="H38" s="28"/>
      <c r="I38" s="29"/>
    </row>
    <row r="39" spans="1:9" ht="12.75">
      <c r="A39" s="148" t="s">
        <v>1638</v>
      </c>
      <c r="B39" s="149"/>
      <c r="C39" s="149"/>
      <c r="D39" s="149"/>
      <c r="E39" s="149"/>
      <c r="F39" s="28"/>
      <c r="G39" s="28"/>
      <c r="H39" s="28"/>
      <c r="I39" s="29"/>
    </row>
    <row r="40" spans="1:9" ht="12.75">
      <c r="A40" s="27"/>
      <c r="B40" s="28"/>
      <c r="C40" s="28"/>
      <c r="D40" s="28"/>
      <c r="E40" s="28"/>
      <c r="F40" s="28"/>
      <c r="G40" s="28"/>
      <c r="H40" s="28"/>
      <c r="I40" s="29"/>
    </row>
    <row r="41" spans="1:9" ht="12.75">
      <c r="A41" s="148" t="s">
        <v>1640</v>
      </c>
      <c r="B41" s="149"/>
      <c r="C41" s="149"/>
      <c r="D41" s="149"/>
      <c r="E41" s="28"/>
      <c r="F41" s="28"/>
      <c r="G41" s="28"/>
      <c r="H41" s="28"/>
      <c r="I41" s="29"/>
    </row>
    <row r="42" spans="1:9" ht="12.75">
      <c r="A42" s="140" t="s">
        <v>1639</v>
      </c>
      <c r="B42" s="28"/>
      <c r="C42" s="28"/>
      <c r="D42" s="28"/>
      <c r="E42" s="28"/>
      <c r="F42" s="28"/>
      <c r="G42" s="28"/>
      <c r="H42" s="28"/>
      <c r="I42" s="29"/>
    </row>
    <row r="43" spans="1:9" ht="12.75">
      <c r="A43" s="27"/>
      <c r="B43" s="28"/>
      <c r="C43" s="28"/>
      <c r="D43" s="28"/>
      <c r="E43" s="28"/>
      <c r="F43" s="28"/>
      <c r="G43" s="28"/>
      <c r="H43" s="28"/>
      <c r="I43" s="29"/>
    </row>
    <row r="44" spans="1:9" ht="12.75">
      <c r="A44" s="27" t="s">
        <v>646</v>
      </c>
      <c r="B44" s="28"/>
      <c r="C44" s="28"/>
      <c r="D44" s="28"/>
      <c r="E44" s="28"/>
      <c r="F44" s="28"/>
      <c r="G44" s="28"/>
      <c r="H44" s="28"/>
      <c r="I44" s="29"/>
    </row>
    <row r="45" spans="1:9" ht="12.75">
      <c r="A45" s="141" t="s">
        <v>1642</v>
      </c>
      <c r="B45" s="30"/>
      <c r="C45" s="30"/>
      <c r="D45" s="30"/>
      <c r="E45" s="30"/>
      <c r="F45" s="30"/>
      <c r="G45" s="30"/>
      <c r="H45" s="30"/>
      <c r="I45" s="31"/>
    </row>
  </sheetData>
  <sheetProtection/>
  <mergeCells count="3">
    <mergeCell ref="A1:I1"/>
    <mergeCell ref="A41:D41"/>
    <mergeCell ref="A39:E39"/>
  </mergeCells>
  <hyperlinks>
    <hyperlink ref="A41" r:id="rId1" display="Please contact sheldonbrown.com"/>
    <hyperlink ref="A39" r:id="rId2" display="http://sheldonbrown.com/rinard/spocalc.htm"/>
  </hyperlinks>
  <printOptions gridLines="1"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43"/>
  <sheetViews>
    <sheetView zoomScale="90" zoomScaleNormal="90" zoomScalePageLayoutView="0" workbookViewId="0" topLeftCell="A1">
      <selection activeCell="K35" sqref="K35"/>
    </sheetView>
  </sheetViews>
  <sheetFormatPr defaultColWidth="9.140625" defaultRowHeight="12.75"/>
  <cols>
    <col min="1" max="1" width="2.140625" style="3" bestFit="1" customWidth="1"/>
    <col min="2" max="2" width="39.7109375" style="3" customWidth="1"/>
    <col min="3" max="3" width="12.57421875" style="5" customWidth="1"/>
    <col min="4" max="4" width="8.7109375" style="5" customWidth="1"/>
    <col min="5" max="5" width="9.421875" style="3" bestFit="1" customWidth="1"/>
    <col min="6" max="6" width="10.7109375" style="3" bestFit="1" customWidth="1"/>
    <col min="7" max="7" width="16.140625" style="3" bestFit="1" customWidth="1"/>
    <col min="8" max="8" width="17.421875" style="3" bestFit="1" customWidth="1"/>
    <col min="9" max="9" width="8.57421875" style="3" customWidth="1"/>
    <col min="10" max="10" width="2.421875" style="3" customWidth="1"/>
    <col min="11" max="11" width="18.28125" style="3" customWidth="1"/>
    <col min="12" max="14" width="10.00390625" style="3" customWidth="1"/>
    <col min="15" max="16384" width="9.140625" style="3" customWidth="1"/>
  </cols>
  <sheetData>
    <row r="1" spans="1:8" ht="12.75">
      <c r="A1" s="9"/>
      <c r="B1" s="9" t="s">
        <v>1054</v>
      </c>
      <c r="D1" s="150" t="s">
        <v>1638</v>
      </c>
      <c r="E1" s="149"/>
      <c r="F1" s="149"/>
      <c r="G1" s="149"/>
      <c r="H1" s="139"/>
    </row>
    <row r="2" spans="1:6" s="9" customFormat="1" ht="12.75">
      <c r="A2" s="56"/>
      <c r="B2" s="56" t="s">
        <v>950</v>
      </c>
      <c r="C2" s="56"/>
      <c r="D2" s="56"/>
      <c r="E2" s="56"/>
      <c r="F2" s="56"/>
    </row>
    <row r="3" spans="1:6" s="9" customFormat="1" ht="12.75">
      <c r="A3" s="56">
        <v>1</v>
      </c>
      <c r="B3" s="56" t="s">
        <v>628</v>
      </c>
      <c r="C3" s="56"/>
      <c r="D3" s="56"/>
      <c r="E3" s="56"/>
      <c r="F3" s="56"/>
    </row>
    <row r="4" spans="1:6" s="9" customFormat="1" ht="12.75">
      <c r="A4" s="56">
        <v>2</v>
      </c>
      <c r="B4" s="56" t="s">
        <v>953</v>
      </c>
      <c r="C4" s="56"/>
      <c r="D4" s="56"/>
      <c r="E4" s="56"/>
      <c r="F4" s="56"/>
    </row>
    <row r="5" spans="1:6" s="9" customFormat="1" ht="12.75">
      <c r="A5" s="56"/>
      <c r="B5" s="56" t="s">
        <v>951</v>
      </c>
      <c r="C5" s="56"/>
      <c r="D5" s="56"/>
      <c r="E5" s="56"/>
      <c r="F5" s="56"/>
    </row>
    <row r="6" spans="1:6" s="9" customFormat="1" ht="12.75">
      <c r="A6" s="56">
        <v>3</v>
      </c>
      <c r="B6" s="56" t="s">
        <v>522</v>
      </c>
      <c r="C6" s="56"/>
      <c r="D6" s="56"/>
      <c r="E6" s="56"/>
      <c r="F6" s="56"/>
    </row>
    <row r="7" spans="1:6" s="9" customFormat="1" ht="12.75">
      <c r="A7" s="56">
        <v>4</v>
      </c>
      <c r="B7" s="56" t="s">
        <v>954</v>
      </c>
      <c r="C7" s="56"/>
      <c r="D7" s="56"/>
      <c r="E7" s="56"/>
      <c r="F7" s="56"/>
    </row>
    <row r="8" spans="1:6" s="9" customFormat="1" ht="13.5" thickBot="1">
      <c r="A8" s="56">
        <v>5</v>
      </c>
      <c r="B8" s="56" t="s">
        <v>952</v>
      </c>
      <c r="C8" s="56"/>
      <c r="D8" s="56"/>
      <c r="E8" s="56"/>
      <c r="F8" s="56"/>
    </row>
    <row r="9" spans="2:14" s="9" customFormat="1" ht="13.5" thickBot="1">
      <c r="B9" s="59" t="s">
        <v>931</v>
      </c>
      <c r="C9" s="69" t="s">
        <v>929</v>
      </c>
      <c r="D9" s="145" t="s">
        <v>930</v>
      </c>
      <c r="E9" s="146"/>
      <c r="F9" s="147"/>
      <c r="G9" s="110" t="s">
        <v>1144</v>
      </c>
      <c r="H9" s="110"/>
      <c r="I9" s="111"/>
      <c r="K9" s="109" t="s">
        <v>471</v>
      </c>
      <c r="L9" s="110"/>
      <c r="M9" s="110"/>
      <c r="N9" s="111"/>
    </row>
    <row r="10" spans="2:14" s="9" customFormat="1" ht="12.75">
      <c r="B10" s="73" t="s">
        <v>650</v>
      </c>
      <c r="C10" s="84">
        <v>32</v>
      </c>
      <c r="D10" s="72" t="s">
        <v>648</v>
      </c>
      <c r="E10" s="72" t="s">
        <v>1257</v>
      </c>
      <c r="F10" s="74" t="s">
        <v>1263</v>
      </c>
      <c r="G10" s="97" t="s">
        <v>1142</v>
      </c>
      <c r="H10" s="97" t="s">
        <v>1143</v>
      </c>
      <c r="I10" s="121"/>
      <c r="J10" s="97"/>
      <c r="K10" s="112" t="s">
        <v>330</v>
      </c>
      <c r="L10" s="113"/>
      <c r="M10" s="113"/>
      <c r="N10" s="114"/>
    </row>
    <row r="11" spans="2:14" s="9" customFormat="1" ht="25.5">
      <c r="B11" s="75" t="s">
        <v>651</v>
      </c>
      <c r="C11" s="85">
        <v>596</v>
      </c>
      <c r="D11" s="70">
        <v>0</v>
      </c>
      <c r="E11" s="71">
        <f aca="true" t="shared" si="0" ref="E11:E16">SQRT((C$15/2*SIN(2*PI()*D11/(C$10/2)))^2+(C$11/2-((C$15/2)*COS(2*PI()*D11/(C$10/2))))^2+D$19^2)-C$17/2</f>
        <v>279.5345231709132</v>
      </c>
      <c r="F11" s="76">
        <f>SQRT((C$16/2*SIN(2*PI()*D11/(C10/2)))^2+(C$11/2-((C$16/2)*COS(2*PI()*D11/(C10/2))))^2+D$20^2)-C$17/2</f>
        <v>279.5408235365851</v>
      </c>
      <c r="G11" s="122" t="str">
        <f>CONCATENATE(ROUND(DEGREES(ASIN(($D$19-5.5/2)/E11)),1)," heads out; ",ROUND(DEGREES(ASIN(($D$19+5.5/2)/E11)),1)," heads in")</f>
        <v>6.7 heads out; 7.8 heads in</v>
      </c>
      <c r="H11" s="122" t="str">
        <f>CONCATENATE(ROUND(DEGREES(ASIN(($D$20-5.5/2)/F11)),1)," heads out; ",ROUND(DEGREES(ASIN(($D$20+5.5/2)/F11)),1)," heads in")</f>
        <v>6.7 heads out; 7.8 heads in</v>
      </c>
      <c r="I11" s="131" t="s">
        <v>470</v>
      </c>
      <c r="K11" s="112" t="s">
        <v>1057</v>
      </c>
      <c r="L11" s="113"/>
      <c r="M11" s="113"/>
      <c r="N11" s="114"/>
    </row>
    <row r="12" spans="2:14" s="9" customFormat="1" ht="12.75">
      <c r="B12" s="75" t="s">
        <v>1255</v>
      </c>
      <c r="C12" s="85">
        <v>0</v>
      </c>
      <c r="D12" s="70">
        <v>1</v>
      </c>
      <c r="E12" s="71">
        <f t="shared" si="0"/>
        <v>281.10576432859784</v>
      </c>
      <c r="F12" s="76">
        <f>SQRT((C$16/2*SIN(2*PI()*D12/(C10/2)))^2+(C$11/2-((C$16/2)*COS(2*PI()*D12/(C10/2))))^2+D$20^2)-C$17/2</f>
        <v>281.1120296288379</v>
      </c>
      <c r="G12" s="123">
        <f>DEGREES(ASIN($D$19/E12))</f>
        <v>7.224264595438343</v>
      </c>
      <c r="H12" s="123">
        <f>DEGREES(ASIN($D$20/F12))</f>
        <v>7.234375301880802</v>
      </c>
      <c r="I12" s="124">
        <f>SIN(RADIANS(G12))/SIN(RADIANS(H12))</f>
        <v>0.9986098271944029</v>
      </c>
      <c r="J12" s="120"/>
      <c r="K12" s="112" t="s">
        <v>1051</v>
      </c>
      <c r="L12" s="113"/>
      <c r="M12" s="113"/>
      <c r="N12" s="114"/>
    </row>
    <row r="13" spans="2:14" s="9" customFormat="1" ht="12.75">
      <c r="B13" s="75" t="s">
        <v>1256</v>
      </c>
      <c r="C13" s="85">
        <v>35.35</v>
      </c>
      <c r="D13" s="70">
        <v>2</v>
      </c>
      <c r="E13" s="71">
        <f t="shared" si="0"/>
        <v>285.5331119509045</v>
      </c>
      <c r="F13" s="76">
        <f>SQRT((C$16/2*SIN(2*PI()*D13/(C10/2)))^2+(C$11/2-((C$16/2)*COS(2*PI()*D13/(C10/2))))^2+D$20^2)-C$17/2</f>
        <v>285.53928051289023</v>
      </c>
      <c r="G13" s="123">
        <f>DEGREES(ASIN($D$19/E13))</f>
        <v>7.111664950374949</v>
      </c>
      <c r="H13" s="123">
        <f>DEGREES(ASIN($D$20/F13))</f>
        <v>7.121621320560481</v>
      </c>
      <c r="I13" s="124">
        <f>SIN(RADIANS(G13))/SIN(RADIANS(H13))</f>
        <v>0.9986091437738275</v>
      </c>
      <c r="J13" s="120"/>
      <c r="K13" s="112" t="s">
        <v>1052</v>
      </c>
      <c r="L13" s="113"/>
      <c r="M13" s="113"/>
      <c r="N13" s="114"/>
    </row>
    <row r="14" spans="2:14" s="9" customFormat="1" ht="12.75">
      <c r="B14" s="75" t="s">
        <v>1258</v>
      </c>
      <c r="C14" s="85">
        <v>35.4</v>
      </c>
      <c r="D14" s="70">
        <v>3</v>
      </c>
      <c r="E14" s="71">
        <f t="shared" si="0"/>
        <v>292.03425047059716</v>
      </c>
      <c r="F14" s="76">
        <f>SQRT((C$16/2*SIN(2*PI()*D14/(C10/2)))^2+(C$11/2-((C$16/2)*COS(2*PI()*D14/(C10/2))))^2+D$20^2)-C$17/2</f>
        <v>292.04028227556483</v>
      </c>
      <c r="G14" s="123">
        <f>DEGREES(ASIN($D$19/E14))</f>
        <v>6.952557474287297</v>
      </c>
      <c r="H14" s="123">
        <f>DEGREES(ASIN($D$20/F14))</f>
        <v>6.962295502724689</v>
      </c>
      <c r="I14" s="124">
        <f>SIN(RADIANS(G14))/SIN(RADIANS(H14))</f>
        <v>0.9986081958921673</v>
      </c>
      <c r="J14" s="120"/>
      <c r="K14" s="112" t="s">
        <v>1055</v>
      </c>
      <c r="L14" s="113"/>
      <c r="M14" s="113"/>
      <c r="N14" s="114"/>
    </row>
    <row r="15" spans="2:14" s="9" customFormat="1" ht="12.75">
      <c r="B15" s="75" t="s">
        <v>1259</v>
      </c>
      <c r="C15" s="85">
        <v>39</v>
      </c>
      <c r="D15" s="70">
        <v>4</v>
      </c>
      <c r="E15" s="71">
        <f t="shared" si="0"/>
        <v>299.52225142147364</v>
      </c>
      <c r="F15" s="76">
        <f>SQRT((C$16/2*SIN(2*PI()*D15/(C10/2)))^2+(C$11/2-((C$16/2)*COS(2*PI()*D15/(C10/2))))^2+D$20^2)-C$17/2</f>
        <v>299.5281330371337</v>
      </c>
      <c r="G15" s="123">
        <f>DEGREES(ASIN($D$19/E15))</f>
        <v>6.777918844119905</v>
      </c>
      <c r="H15" s="123">
        <f>DEGREES(ASIN($D$20/F15))</f>
        <v>6.787416875582289</v>
      </c>
      <c r="I15" s="124">
        <f>SIN(RADIANS(G15))/SIN(RADIANS(H15))</f>
        <v>0.9986071795428946</v>
      </c>
      <c r="J15" s="120"/>
      <c r="K15" s="115" t="s">
        <v>1056</v>
      </c>
      <c r="L15" s="113"/>
      <c r="M15" s="113"/>
      <c r="N15" s="114"/>
    </row>
    <row r="16" spans="2:14" s="9" customFormat="1" ht="12.75">
      <c r="B16" s="75" t="s">
        <v>1260</v>
      </c>
      <c r="C16" s="85">
        <v>39</v>
      </c>
      <c r="D16" s="82">
        <f>C18</f>
        <v>3</v>
      </c>
      <c r="E16" s="78">
        <f t="shared" si="0"/>
        <v>292.03425047059716</v>
      </c>
      <c r="F16" s="79">
        <f>SQRT((C$16/2*SIN(2*PI()*D16/(C10/2)))^2+(C$11/2-((C$16/2)*COS(2*PI()*D16/(C10/2))))^2+D$20^2)-C$17/2</f>
        <v>292.04028227556483</v>
      </c>
      <c r="G16" s="125">
        <f>DEGREES(ASIN($D$19/E16))</f>
        <v>6.952557474287297</v>
      </c>
      <c r="H16" s="125">
        <f>DEGREES(ASIN($D$20/F16))</f>
        <v>6.962295502724689</v>
      </c>
      <c r="I16" s="126">
        <f>SIN(RADIANS(G16))/SIN(RADIANS(H16))</f>
        <v>0.9986081958921673</v>
      </c>
      <c r="J16" s="120"/>
      <c r="K16" s="112"/>
      <c r="L16" s="113"/>
      <c r="M16" s="113"/>
      <c r="N16" s="114"/>
    </row>
    <row r="17" spans="2:14" s="9" customFormat="1" ht="12.75">
      <c r="B17" s="75" t="s">
        <v>652</v>
      </c>
      <c r="C17" s="85">
        <v>2.4</v>
      </c>
      <c r="D17" s="62"/>
      <c r="E17" s="98"/>
      <c r="F17" s="63"/>
      <c r="G17" s="100"/>
      <c r="H17" s="100"/>
      <c r="K17" s="112" t="s">
        <v>331</v>
      </c>
      <c r="L17" s="113"/>
      <c r="M17" s="113"/>
      <c r="N17" s="114"/>
    </row>
    <row r="18" spans="2:14" s="9" customFormat="1" ht="12.75">
      <c r="B18" s="75" t="s">
        <v>928</v>
      </c>
      <c r="C18" s="86">
        <v>3</v>
      </c>
      <c r="D18" s="62"/>
      <c r="E18" s="128"/>
      <c r="F18" s="63"/>
      <c r="G18" s="100"/>
      <c r="H18" s="100"/>
      <c r="K18" s="116" t="s">
        <v>329</v>
      </c>
      <c r="L18" s="117"/>
      <c r="M18" s="117"/>
      <c r="N18" s="118"/>
    </row>
    <row r="19" spans="2:8" s="9" customFormat="1" ht="12.75">
      <c r="B19" s="75" t="s">
        <v>1261</v>
      </c>
      <c r="C19" s="60"/>
      <c r="D19" s="80">
        <f>C13+C12</f>
        <v>35.35</v>
      </c>
      <c r="E19" s="62"/>
      <c r="F19" s="63"/>
      <c r="G19" s="100"/>
      <c r="H19" s="100"/>
    </row>
    <row r="20" spans="2:8" s="9" customFormat="1" ht="13.5" thickBot="1">
      <c r="B20" s="77" t="s">
        <v>1262</v>
      </c>
      <c r="C20" s="61"/>
      <c r="D20" s="81">
        <f>C14-C12</f>
        <v>35.4</v>
      </c>
      <c r="E20" s="64"/>
      <c r="F20" s="65"/>
      <c r="G20" s="100"/>
      <c r="H20" s="100"/>
    </row>
    <row r="21" spans="2:8" s="9" customFormat="1" ht="13.5" thickBot="1">
      <c r="B21" s="55"/>
      <c r="C21" s="55"/>
      <c r="D21" s="55"/>
      <c r="E21" s="55"/>
      <c r="F21" s="55"/>
      <c r="G21" s="100"/>
      <c r="H21" s="100"/>
    </row>
    <row r="22" spans="2:15" s="9" customFormat="1" ht="13.5" thickBot="1">
      <c r="B22" s="59" t="s">
        <v>955</v>
      </c>
      <c r="C22" s="69" t="s">
        <v>929</v>
      </c>
      <c r="D22" s="145" t="s">
        <v>930</v>
      </c>
      <c r="E22" s="146"/>
      <c r="F22" s="147"/>
      <c r="G22" s="127" t="s">
        <v>1144</v>
      </c>
      <c r="H22" s="127"/>
      <c r="I22" s="111"/>
      <c r="N22" s="107"/>
      <c r="O22" s="108"/>
    </row>
    <row r="23" spans="2:9" s="9" customFormat="1" ht="12.75">
      <c r="B23" s="73" t="s">
        <v>650</v>
      </c>
      <c r="C23" s="84">
        <v>16</v>
      </c>
      <c r="D23" s="72" t="s">
        <v>648</v>
      </c>
      <c r="E23" s="72" t="s">
        <v>1257</v>
      </c>
      <c r="F23" s="74" t="s">
        <v>1263</v>
      </c>
      <c r="G23" s="101" t="s">
        <v>1142</v>
      </c>
      <c r="H23" s="101" t="s">
        <v>1143</v>
      </c>
      <c r="I23" s="114"/>
    </row>
    <row r="24" spans="2:13" s="9" customFormat="1" ht="25.5">
      <c r="B24" s="75" t="s">
        <v>651</v>
      </c>
      <c r="C24" s="85">
        <v>546</v>
      </c>
      <c r="D24" s="70">
        <v>0</v>
      </c>
      <c r="E24" s="71">
        <f aca="true" t="shared" si="1" ref="E24:E29">SQRT((C$28/2*SIN(2*PI()*D24/(C$23/2)))^2+(C$24/2-((C$28/2)*COS(2*PI()*D24/(C$23/2))))^2+D$32^2)-C$30/2</f>
        <v>234.66697057627022</v>
      </c>
      <c r="F24" s="76">
        <f aca="true" t="shared" si="2" ref="F24:F29">SQRT((C$29/2*SIN(2*PI()*D24/(C$23/2)))^2+(C$24/2-((C$29/2)*COS(2*PI()*D24/(C$23/2))))^2+D$33^2)-C$30/2</f>
        <v>233.41366754674797</v>
      </c>
      <c r="G24" s="122" t="str">
        <f>CONCATENATE(ROUND(DEGREES(ASIN(($D$32-5.5/2)/F24)),1)," heads out; ",ROUND(DEGREES(ASIN(($D$32+5.5/2)/F24)),1)," heads in")</f>
        <v>6.7 heads out; 8.1 heads in</v>
      </c>
      <c r="H24" s="122" t="str">
        <f>CONCATENATE(ROUND(DEGREES(ASIN(($D$33-5.5/2)/F24)),1)," heads out; ",ROUND(DEGREES(ASIN(($D$33+5.5/2)/F24)),1)," heads in")</f>
        <v>3.7 heads out; 5 heads in</v>
      </c>
      <c r="I24" s="131" t="s">
        <v>1165</v>
      </c>
      <c r="K24" s="129" t="s">
        <v>474</v>
      </c>
      <c r="L24" s="129" t="s">
        <v>473</v>
      </c>
      <c r="M24" s="129" t="s">
        <v>472</v>
      </c>
    </row>
    <row r="25" spans="2:13" s="9" customFormat="1" ht="12.75">
      <c r="B25" s="75" t="s">
        <v>1255</v>
      </c>
      <c r="C25" s="85">
        <v>0</v>
      </c>
      <c r="D25" s="70">
        <v>1</v>
      </c>
      <c r="E25" s="71">
        <f t="shared" si="1"/>
        <v>247.4971149755738</v>
      </c>
      <c r="F25" s="76">
        <f t="shared" si="2"/>
        <v>246.30874874848746</v>
      </c>
      <c r="G25" s="123">
        <f>DEGREES(ASIN($D$32/E25))</f>
        <v>6.966808680628489</v>
      </c>
      <c r="H25" s="123">
        <f>DEGREES(ASIN($D$33/F25))</f>
        <v>4.106892440836111</v>
      </c>
      <c r="I25" s="124">
        <f>SIN(RADIANS(H25))/SIN(RADIANS(G25))</f>
        <v>0.5904432957078034</v>
      </c>
      <c r="J25" s="120"/>
      <c r="K25" s="105" t="s">
        <v>1142</v>
      </c>
      <c r="L25" s="119">
        <v>6.5</v>
      </c>
      <c r="M25" s="106"/>
    </row>
    <row r="26" spans="2:13" s="9" customFormat="1" ht="12.75">
      <c r="B26" s="75" t="s">
        <v>1256</v>
      </c>
      <c r="C26" s="85">
        <v>30.02</v>
      </c>
      <c r="D26" s="70">
        <v>2</v>
      </c>
      <c r="E26" s="71">
        <f t="shared" si="1"/>
        <v>276.03675238734814</v>
      </c>
      <c r="F26" s="76">
        <f t="shared" si="2"/>
        <v>274.9711530085961</v>
      </c>
      <c r="G26" s="123">
        <f>DEGREES(ASIN($D$32/E26))</f>
        <v>6.243473036026546</v>
      </c>
      <c r="H26" s="123">
        <f>DEGREES(ASIN($D$33/F26))</f>
        <v>3.6781752607191294</v>
      </c>
      <c r="I26" s="124">
        <f>SIN(RADIANS(H26))/SIN(RADIANS(G26))</f>
        <v>0.5898854272953464</v>
      </c>
      <c r="J26" s="120"/>
      <c r="K26" s="105" t="s">
        <v>1143</v>
      </c>
      <c r="L26" s="119">
        <v>4.6</v>
      </c>
      <c r="M26" s="106"/>
    </row>
    <row r="27" spans="2:13" s="9" customFormat="1" ht="12.75">
      <c r="B27" s="75" t="s">
        <v>1258</v>
      </c>
      <c r="C27" s="85">
        <v>17.64</v>
      </c>
      <c r="D27" s="70">
        <v>3</v>
      </c>
      <c r="E27" s="71">
        <f t="shared" si="1"/>
        <v>301.90226160464744</v>
      </c>
      <c r="F27" s="76">
        <f t="shared" si="2"/>
        <v>300.92785788630556</v>
      </c>
      <c r="G27" s="123">
        <f>DEGREES(ASIN($D$32/E27))</f>
        <v>5.706702694722694</v>
      </c>
      <c r="H27" s="123">
        <f>DEGREES(ASIN($D$33/F27))</f>
        <v>3.360530570246796</v>
      </c>
      <c r="I27" s="124">
        <f>SIN(RADIANS(H27))/SIN(RADIANS(G27))</f>
        <v>0.5895109353703277</v>
      </c>
      <c r="J27" s="120"/>
      <c r="K27" s="105" t="s">
        <v>470</v>
      </c>
      <c r="L27" s="106"/>
      <c r="M27" s="130">
        <f>SIN(RADIANS(L26))/SIN(RADIANS(L25))</f>
        <v>0.7084509499287328</v>
      </c>
    </row>
    <row r="28" spans="2:11" s="9" customFormat="1" ht="12.75">
      <c r="B28" s="75" t="s">
        <v>1259</v>
      </c>
      <c r="C28" s="85">
        <v>77.8</v>
      </c>
      <c r="D28" s="70">
        <v>4</v>
      </c>
      <c r="E28" s="71">
        <f t="shared" si="1"/>
        <v>311.99136401056273</v>
      </c>
      <c r="F28" s="76">
        <f t="shared" si="2"/>
        <v>311.04843085393367</v>
      </c>
      <c r="G28" s="123">
        <f>DEGREES(ASIN($D$32/E28))</f>
        <v>5.5215775979905475</v>
      </c>
      <c r="H28" s="123">
        <f>DEGREES(ASIN($D$33/F28))</f>
        <v>3.251069611938566</v>
      </c>
      <c r="I28" s="124">
        <f>SIN(RADIANS(H28))/SIN(RADIANS(G28))</f>
        <v>0.589389576406615</v>
      </c>
      <c r="J28" s="120"/>
      <c r="K28" s="99"/>
    </row>
    <row r="29" spans="2:11" s="9" customFormat="1" ht="12.75">
      <c r="B29" s="75" t="s">
        <v>1260</v>
      </c>
      <c r="C29" s="85">
        <f>38.9*2</f>
        <v>77.8</v>
      </c>
      <c r="D29" s="82">
        <f>C31</f>
        <v>3</v>
      </c>
      <c r="E29" s="78">
        <f t="shared" si="1"/>
        <v>301.90226160464744</v>
      </c>
      <c r="F29" s="79">
        <f t="shared" si="2"/>
        <v>300.92785788630556</v>
      </c>
      <c r="G29" s="125">
        <f>DEGREES(ASIN($D$32/E29))</f>
        <v>5.706702694722694</v>
      </c>
      <c r="H29" s="125">
        <f>DEGREES(ASIN($D$33/F29))</f>
        <v>3.360530570246796</v>
      </c>
      <c r="I29" s="126">
        <f>SIN(RADIANS(H29))/SIN(RADIANS(G29))</f>
        <v>0.5895109353703277</v>
      </c>
      <c r="J29" s="120"/>
      <c r="K29" s="99"/>
    </row>
    <row r="30" spans="2:11" s="9" customFormat="1" ht="12.75">
      <c r="B30" s="75" t="s">
        <v>652</v>
      </c>
      <c r="C30" s="85">
        <f>1.35*2</f>
        <v>2.7</v>
      </c>
      <c r="D30" s="62"/>
      <c r="E30" s="62"/>
      <c r="F30" s="63"/>
      <c r="I30" s="99"/>
      <c r="J30" s="99"/>
      <c r="K30" s="99"/>
    </row>
    <row r="31" spans="2:6" s="9" customFormat="1" ht="12.75">
      <c r="B31" s="75" t="s">
        <v>928</v>
      </c>
      <c r="C31" s="86">
        <v>3</v>
      </c>
      <c r="D31" s="62"/>
      <c r="E31" s="62"/>
      <c r="F31" s="63"/>
    </row>
    <row r="32" spans="2:6" s="9" customFormat="1" ht="12.75">
      <c r="B32" s="75" t="s">
        <v>659</v>
      </c>
      <c r="C32" s="60"/>
      <c r="D32" s="80">
        <f>C26-C25</f>
        <v>30.02</v>
      </c>
      <c r="E32" s="62"/>
      <c r="F32" s="63"/>
    </row>
    <row r="33" spans="2:6" s="9" customFormat="1" ht="13.5" thickBot="1">
      <c r="B33" s="77" t="s">
        <v>660</v>
      </c>
      <c r="C33" s="61"/>
      <c r="D33" s="81">
        <f>C27+C25</f>
        <v>17.64</v>
      </c>
      <c r="E33" s="64"/>
      <c r="F33" s="65"/>
    </row>
    <row r="34" spans="4:6" s="9" customFormat="1" ht="12.75">
      <c r="D34" s="55"/>
      <c r="E34" s="55"/>
      <c r="F34" s="55"/>
    </row>
    <row r="35" spans="2:6" s="9" customFormat="1" ht="12.75">
      <c r="B35" s="57" t="s">
        <v>932</v>
      </c>
      <c r="C35" s="3" t="s">
        <v>557</v>
      </c>
      <c r="D35" s="57"/>
      <c r="E35" s="55"/>
      <c r="F35" s="55"/>
    </row>
    <row r="36" spans="2:6" s="9" customFormat="1" ht="12.75">
      <c r="B36" s="58" t="s">
        <v>933</v>
      </c>
      <c r="C36" s="3" t="s">
        <v>1538</v>
      </c>
      <c r="D36" s="58"/>
      <c r="E36" s="56"/>
      <c r="F36" s="56"/>
    </row>
    <row r="37" spans="2:6" s="9" customFormat="1" ht="12.75">
      <c r="B37" s="58" t="s">
        <v>934</v>
      </c>
      <c r="C37" s="51" t="s">
        <v>495</v>
      </c>
      <c r="D37" s="58"/>
      <c r="E37" s="56"/>
      <c r="F37" s="56"/>
    </row>
    <row r="38" spans="2:6" s="9" customFormat="1" ht="12.75">
      <c r="B38" s="58" t="s">
        <v>935</v>
      </c>
      <c r="C38" s="3" t="s">
        <v>172</v>
      </c>
      <c r="D38" s="58"/>
      <c r="E38" s="56"/>
      <c r="F38" s="56"/>
    </row>
    <row r="39" spans="2:6" s="9" customFormat="1" ht="12.75">
      <c r="B39" s="58" t="s">
        <v>555</v>
      </c>
      <c r="C39" s="83">
        <f ca="1">TODAY()</f>
        <v>42729</v>
      </c>
      <c r="D39" s="58"/>
      <c r="E39" s="56"/>
      <c r="F39" s="56"/>
    </row>
    <row r="40" spans="2:6" ht="12.75">
      <c r="B40" s="132" t="s">
        <v>655</v>
      </c>
      <c r="C40" s="54"/>
      <c r="D40" s="54"/>
      <c r="E40" s="53"/>
      <c r="F40" s="53"/>
    </row>
    <row r="41" spans="3:6" ht="12.75">
      <c r="C41" s="54"/>
      <c r="D41" s="54"/>
      <c r="E41" s="53"/>
      <c r="F41" s="53"/>
    </row>
    <row r="42" spans="4:6" ht="12.75">
      <c r="D42" s="54"/>
      <c r="E42" s="53"/>
      <c r="F42" s="53"/>
    </row>
    <row r="43" spans="4:6" ht="12.75">
      <c r="D43" s="54"/>
      <c r="E43" s="53"/>
      <c r="F43" s="53"/>
    </row>
  </sheetData>
  <sheetProtection/>
  <mergeCells count="3">
    <mergeCell ref="D9:F9"/>
    <mergeCell ref="D22:F22"/>
    <mergeCell ref="D1:G1"/>
  </mergeCells>
  <hyperlinks>
    <hyperlink ref="D1" r:id="rId1" display="http://sheldonbrown.com/rinard/spocalc.htm"/>
  </hyperlinks>
  <printOptions/>
  <pageMargins left="0.95" right="0.9" top="1" bottom="1" header="0.5" footer="0.5"/>
  <pageSetup fitToHeight="1" fitToWidth="1" horizontalDpi="300" verticalDpi="300" orientation="landscape" scale="67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9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6.421875" style="6" customWidth="1"/>
    <col min="2" max="2" width="9.57421875" style="6" bestFit="1" customWidth="1"/>
    <col min="3" max="3" width="8.140625" style="6" customWidth="1"/>
    <col min="4" max="4" width="8.421875" style="6" customWidth="1"/>
    <col min="5" max="5" width="73.421875" style="3" customWidth="1"/>
    <col min="6" max="6" width="11.7109375" style="3" bestFit="1" customWidth="1"/>
    <col min="7" max="7" width="44.28125" style="3" bestFit="1" customWidth="1"/>
    <col min="8" max="16384" width="9.140625" style="1" customWidth="1"/>
  </cols>
  <sheetData>
    <row r="1" spans="1:7" ht="12.75" customHeight="1">
      <c r="A1" s="21" t="s">
        <v>656</v>
      </c>
      <c r="B1" s="21"/>
      <c r="C1" s="13"/>
      <c r="D1" s="13"/>
      <c r="E1" s="14"/>
      <c r="F1" s="1"/>
      <c r="G1" s="1"/>
    </row>
    <row r="2" spans="1:7" ht="12.75" customHeight="1">
      <c r="A2" s="22" t="s">
        <v>657</v>
      </c>
      <c r="B2" s="22"/>
      <c r="C2" s="23"/>
      <c r="D2" s="23"/>
      <c r="E2" s="24"/>
      <c r="F2" s="1"/>
      <c r="G2" s="1"/>
    </row>
    <row r="3" spans="1:7" ht="12.75" customHeight="1">
      <c r="A3" s="22" t="s">
        <v>1441</v>
      </c>
      <c r="B3" s="22"/>
      <c r="C3" s="23"/>
      <c r="D3" s="23"/>
      <c r="E3" s="24"/>
      <c r="F3" s="1"/>
      <c r="G3" s="1"/>
    </row>
    <row r="4" spans="1:7" ht="12.75" customHeight="1">
      <c r="A4" s="22" t="s">
        <v>658</v>
      </c>
      <c r="B4" s="22"/>
      <c r="C4" s="23"/>
      <c r="D4" s="23"/>
      <c r="E4" s="24"/>
      <c r="F4" s="1"/>
      <c r="G4" s="1"/>
    </row>
    <row r="5" spans="1:7" ht="12.75" customHeight="1">
      <c r="A5" s="22" t="s">
        <v>661</v>
      </c>
      <c r="B5" s="22"/>
      <c r="C5" s="23"/>
      <c r="D5" s="23"/>
      <c r="E5" s="24"/>
      <c r="F5" s="1"/>
      <c r="G5" s="1"/>
    </row>
    <row r="6" spans="1:7" ht="12.75" customHeight="1">
      <c r="A6" s="46" t="s">
        <v>662</v>
      </c>
      <c r="B6" s="46"/>
      <c r="C6" s="25"/>
      <c r="D6" s="25"/>
      <c r="E6" s="26"/>
      <c r="F6" s="1"/>
      <c r="G6" s="1"/>
    </row>
    <row r="7" spans="1:7" ht="12.75" customHeight="1">
      <c r="A7" s="46"/>
      <c r="B7" s="46"/>
      <c r="C7" s="25"/>
      <c r="D7" s="25"/>
      <c r="E7" s="26"/>
      <c r="F7" s="1"/>
      <c r="G7" s="1"/>
    </row>
    <row r="8" spans="1:7" s="2" customFormat="1" ht="26.25" customHeight="1">
      <c r="A8" s="42" t="s">
        <v>663</v>
      </c>
      <c r="B8" s="42" t="s">
        <v>1254</v>
      </c>
      <c r="C8" s="43" t="s">
        <v>664</v>
      </c>
      <c r="D8" s="43" t="s">
        <v>665</v>
      </c>
      <c r="E8" s="92" t="s">
        <v>640</v>
      </c>
      <c r="F8" s="1" t="s">
        <v>666</v>
      </c>
      <c r="G8" s="1" t="s">
        <v>1386</v>
      </c>
    </row>
    <row r="9" spans="1:7" s="2" customFormat="1" ht="12.75">
      <c r="A9" s="85">
        <v>604</v>
      </c>
      <c r="B9" s="85">
        <v>0</v>
      </c>
      <c r="C9" s="6" t="s">
        <v>667</v>
      </c>
      <c r="D9" s="6" t="s">
        <v>778</v>
      </c>
      <c r="E9" s="3" t="s">
        <v>779</v>
      </c>
      <c r="F9" s="3"/>
      <c r="G9" s="3"/>
    </row>
    <row r="10" spans="1:5" ht="12.75">
      <c r="A10" s="85">
        <v>615</v>
      </c>
      <c r="B10" s="85">
        <v>0</v>
      </c>
      <c r="C10" s="6" t="s">
        <v>667</v>
      </c>
      <c r="D10" s="6" t="s">
        <v>778</v>
      </c>
      <c r="E10" s="3" t="s">
        <v>780</v>
      </c>
    </row>
    <row r="11" spans="1:7" ht="12.75">
      <c r="A11" s="85">
        <v>601.5</v>
      </c>
      <c r="B11" s="85">
        <v>0</v>
      </c>
      <c r="C11" s="6" t="s">
        <v>667</v>
      </c>
      <c r="D11" s="6" t="s">
        <v>778</v>
      </c>
      <c r="E11" s="3" t="s">
        <v>674</v>
      </c>
      <c r="F11" s="137">
        <v>39041</v>
      </c>
      <c r="G11" s="3" t="s">
        <v>1289</v>
      </c>
    </row>
    <row r="12" spans="1:5" ht="12.75">
      <c r="A12" s="85">
        <v>618</v>
      </c>
      <c r="B12" s="85">
        <v>0</v>
      </c>
      <c r="C12" s="6" t="s">
        <v>667</v>
      </c>
      <c r="D12" s="6" t="s">
        <v>778</v>
      </c>
      <c r="E12" s="3" t="s">
        <v>1298</v>
      </c>
    </row>
    <row r="13" spans="1:7" ht="12.75">
      <c r="A13" s="85">
        <v>610</v>
      </c>
      <c r="B13" s="85">
        <v>0</v>
      </c>
      <c r="C13" s="6" t="s">
        <v>667</v>
      </c>
      <c r="D13" s="6" t="s">
        <v>778</v>
      </c>
      <c r="E13" s="3" t="s">
        <v>1297</v>
      </c>
      <c r="F13" s="137">
        <v>39041</v>
      </c>
      <c r="G13" s="3" t="s">
        <v>1289</v>
      </c>
    </row>
    <row r="14" spans="1:5" ht="12.75">
      <c r="A14" s="85">
        <v>618</v>
      </c>
      <c r="B14" s="85">
        <v>0</v>
      </c>
      <c r="C14" s="6" t="s">
        <v>667</v>
      </c>
      <c r="D14" s="6" t="s">
        <v>778</v>
      </c>
      <c r="E14" s="3" t="s">
        <v>1196</v>
      </c>
    </row>
    <row r="15" spans="1:5" ht="12.75">
      <c r="A15" s="85">
        <v>618</v>
      </c>
      <c r="B15" s="85">
        <v>0</v>
      </c>
      <c r="C15" s="6" t="s">
        <v>667</v>
      </c>
      <c r="D15" s="6" t="s">
        <v>778</v>
      </c>
      <c r="E15" s="3" t="s">
        <v>1300</v>
      </c>
    </row>
    <row r="16" spans="1:7" ht="12.75">
      <c r="A16" s="85">
        <v>610.5</v>
      </c>
      <c r="B16" s="85">
        <v>0</v>
      </c>
      <c r="C16" s="6" t="s">
        <v>667</v>
      </c>
      <c r="D16" s="6" t="s">
        <v>778</v>
      </c>
      <c r="E16" s="3" t="s">
        <v>1300</v>
      </c>
      <c r="F16" s="137">
        <v>39041</v>
      </c>
      <c r="G16" s="3" t="s">
        <v>1289</v>
      </c>
    </row>
    <row r="17" spans="1:5" ht="12.75">
      <c r="A17" s="85">
        <v>617</v>
      </c>
      <c r="B17" s="85">
        <v>0</v>
      </c>
      <c r="C17" s="6" t="s">
        <v>667</v>
      </c>
      <c r="D17" s="6" t="s">
        <v>778</v>
      </c>
      <c r="E17" s="3" t="s">
        <v>781</v>
      </c>
    </row>
    <row r="18" spans="1:7" ht="12.75">
      <c r="A18" s="85">
        <v>610.5</v>
      </c>
      <c r="B18" s="85">
        <v>0</v>
      </c>
      <c r="C18" s="6" t="s">
        <v>667</v>
      </c>
      <c r="D18" s="6" t="s">
        <v>778</v>
      </c>
      <c r="E18" s="3" t="s">
        <v>1295</v>
      </c>
      <c r="F18" s="137">
        <v>39041</v>
      </c>
      <c r="G18" s="3" t="s">
        <v>1289</v>
      </c>
    </row>
    <row r="19" spans="1:5" ht="12.75">
      <c r="A19" s="85">
        <v>618</v>
      </c>
      <c r="B19" s="85">
        <v>0</v>
      </c>
      <c r="C19" s="6" t="s">
        <v>667</v>
      </c>
      <c r="D19" s="6" t="s">
        <v>778</v>
      </c>
      <c r="E19" s="3" t="s">
        <v>1197</v>
      </c>
    </row>
    <row r="20" spans="1:7" ht="12.75">
      <c r="A20" s="85">
        <v>594</v>
      </c>
      <c r="B20" s="85">
        <v>0</v>
      </c>
      <c r="C20" s="6" t="s">
        <v>667</v>
      </c>
      <c r="D20" s="6" t="s">
        <v>778</v>
      </c>
      <c r="E20" s="3" t="s">
        <v>1296</v>
      </c>
      <c r="F20" s="137">
        <v>39041</v>
      </c>
      <c r="G20" s="3" t="s">
        <v>1289</v>
      </c>
    </row>
    <row r="21" spans="1:7" ht="12.75">
      <c r="A21" s="85">
        <v>605</v>
      </c>
      <c r="B21" s="85">
        <v>0</v>
      </c>
      <c r="C21" s="6" t="s">
        <v>667</v>
      </c>
      <c r="D21" s="6" t="s">
        <v>778</v>
      </c>
      <c r="E21" s="3" t="s">
        <v>1299</v>
      </c>
      <c r="F21" s="137">
        <v>39041</v>
      </c>
      <c r="G21" s="3" t="s">
        <v>1289</v>
      </c>
    </row>
    <row r="22" spans="1:5" ht="12.75">
      <c r="A22" s="85">
        <v>567</v>
      </c>
      <c r="B22" s="85">
        <v>0</v>
      </c>
      <c r="C22" s="6" t="s">
        <v>667</v>
      </c>
      <c r="D22" s="6" t="s">
        <v>778</v>
      </c>
      <c r="E22" s="3" t="s">
        <v>676</v>
      </c>
    </row>
    <row r="23" spans="1:5" ht="12.75">
      <c r="A23" s="85">
        <v>618</v>
      </c>
      <c r="B23" s="85">
        <v>0</v>
      </c>
      <c r="C23" s="6" t="s">
        <v>667</v>
      </c>
      <c r="D23" s="6" t="s">
        <v>778</v>
      </c>
      <c r="E23" s="3" t="s">
        <v>1185</v>
      </c>
    </row>
    <row r="24" spans="1:5" ht="12.75">
      <c r="A24" s="85">
        <v>618</v>
      </c>
      <c r="B24" s="85">
        <v>0</v>
      </c>
      <c r="C24" s="6" t="s">
        <v>667</v>
      </c>
      <c r="D24" s="6" t="s">
        <v>778</v>
      </c>
      <c r="E24" s="3" t="s">
        <v>1186</v>
      </c>
    </row>
    <row r="25" spans="1:7" ht="12.75">
      <c r="A25" s="85">
        <v>618</v>
      </c>
      <c r="B25" s="85">
        <v>0</v>
      </c>
      <c r="C25" s="6" t="s">
        <v>667</v>
      </c>
      <c r="D25" s="6" t="s">
        <v>778</v>
      </c>
      <c r="E25" s="3" t="s">
        <v>356</v>
      </c>
      <c r="F25" s="133">
        <v>37255</v>
      </c>
      <c r="G25" s="3" t="s">
        <v>1091</v>
      </c>
    </row>
    <row r="26" spans="1:5" ht="12.75">
      <c r="A26" s="85">
        <v>609</v>
      </c>
      <c r="B26" s="85">
        <v>0</v>
      </c>
      <c r="C26" s="6" t="s">
        <v>667</v>
      </c>
      <c r="D26" s="6" t="s">
        <v>778</v>
      </c>
      <c r="E26" s="3" t="s">
        <v>782</v>
      </c>
    </row>
    <row r="27" spans="1:5" ht="12.75">
      <c r="A27" s="85">
        <v>607</v>
      </c>
      <c r="B27" s="85">
        <v>0</v>
      </c>
      <c r="C27" s="6" t="s">
        <v>667</v>
      </c>
      <c r="D27" s="6" t="s">
        <v>778</v>
      </c>
      <c r="E27" s="3" t="s">
        <v>783</v>
      </c>
    </row>
    <row r="28" spans="1:5" ht="12.75">
      <c r="A28" s="85">
        <v>611</v>
      </c>
      <c r="B28" s="85">
        <v>0</v>
      </c>
      <c r="C28" s="6" t="s">
        <v>667</v>
      </c>
      <c r="D28" s="6" t="s">
        <v>778</v>
      </c>
      <c r="E28" s="3" t="s">
        <v>1181</v>
      </c>
    </row>
    <row r="29" spans="1:5" ht="12.75">
      <c r="A29" s="85">
        <v>611</v>
      </c>
      <c r="B29" s="85">
        <v>0</v>
      </c>
      <c r="C29" s="6" t="s">
        <v>667</v>
      </c>
      <c r="D29" s="6" t="s">
        <v>778</v>
      </c>
      <c r="E29" s="3" t="s">
        <v>1182</v>
      </c>
    </row>
    <row r="30" spans="1:7" ht="12.75">
      <c r="A30" s="85">
        <v>606.3</v>
      </c>
      <c r="B30" s="85">
        <v>0</v>
      </c>
      <c r="C30" s="6" t="s">
        <v>667</v>
      </c>
      <c r="D30" s="6" t="s">
        <v>778</v>
      </c>
      <c r="E30" s="3" t="s">
        <v>1187</v>
      </c>
      <c r="F30" s="133">
        <v>37255</v>
      </c>
      <c r="G30" s="3" t="s">
        <v>1091</v>
      </c>
    </row>
    <row r="31" spans="1:5" ht="12.75">
      <c r="A31" s="85">
        <v>619</v>
      </c>
      <c r="B31" s="85">
        <v>0</v>
      </c>
      <c r="C31" s="6" t="s">
        <v>667</v>
      </c>
      <c r="D31" s="6" t="s">
        <v>778</v>
      </c>
      <c r="E31" s="3" t="s">
        <v>1179</v>
      </c>
    </row>
    <row r="32" spans="1:5" ht="12.75">
      <c r="A32" s="85">
        <v>619</v>
      </c>
      <c r="B32" s="85">
        <v>0</v>
      </c>
      <c r="C32" s="6" t="s">
        <v>667</v>
      </c>
      <c r="D32" s="6" t="s">
        <v>778</v>
      </c>
      <c r="E32" s="3" t="s">
        <v>1180</v>
      </c>
    </row>
    <row r="33" spans="1:7" ht="12.75">
      <c r="A33" s="85">
        <v>618</v>
      </c>
      <c r="B33" s="85">
        <v>0</v>
      </c>
      <c r="C33" s="6" t="s">
        <v>667</v>
      </c>
      <c r="D33" s="6" t="s">
        <v>778</v>
      </c>
      <c r="E33" s="3" t="s">
        <v>355</v>
      </c>
      <c r="F33" s="133">
        <v>37255</v>
      </c>
      <c r="G33" s="3" t="s">
        <v>1091</v>
      </c>
    </row>
    <row r="34" spans="1:7" ht="12.75">
      <c r="A34" s="85">
        <v>581.4</v>
      </c>
      <c r="B34" s="85">
        <v>0</v>
      </c>
      <c r="C34" s="6" t="s">
        <v>667</v>
      </c>
      <c r="D34" s="6" t="s">
        <v>778</v>
      </c>
      <c r="E34" s="3" t="s">
        <v>1178</v>
      </c>
      <c r="F34" s="133">
        <v>37255</v>
      </c>
      <c r="G34" s="3" t="s">
        <v>1091</v>
      </c>
    </row>
    <row r="35" spans="1:5" ht="12.75">
      <c r="A35" s="85">
        <v>618</v>
      </c>
      <c r="B35" s="85">
        <v>0</v>
      </c>
      <c r="C35" s="6" t="s">
        <v>667</v>
      </c>
      <c r="D35" s="6" t="s">
        <v>778</v>
      </c>
      <c r="E35" s="3" t="s">
        <v>1183</v>
      </c>
    </row>
    <row r="36" spans="1:7" ht="12.75">
      <c r="A36" s="85">
        <f>592+3</f>
        <v>595</v>
      </c>
      <c r="B36" s="85">
        <v>0</v>
      </c>
      <c r="C36" s="6" t="s">
        <v>667</v>
      </c>
      <c r="D36" s="6" t="s">
        <v>778</v>
      </c>
      <c r="E36" s="3" t="s">
        <v>491</v>
      </c>
      <c r="F36" s="133">
        <v>37322</v>
      </c>
      <c r="G36" s="3" t="s">
        <v>158</v>
      </c>
    </row>
    <row r="37" spans="1:7" ht="12.75">
      <c r="A37" s="85">
        <f>557+30</f>
        <v>587</v>
      </c>
      <c r="B37" s="85">
        <v>0</v>
      </c>
      <c r="C37" s="6" t="s">
        <v>667</v>
      </c>
      <c r="D37" s="6" t="s">
        <v>778</v>
      </c>
      <c r="E37" s="3" t="s">
        <v>487</v>
      </c>
      <c r="F37" s="133">
        <v>37305</v>
      </c>
      <c r="G37" s="3" t="s">
        <v>154</v>
      </c>
    </row>
    <row r="38" spans="1:7" ht="12.75">
      <c r="A38" s="85">
        <f>595+3</f>
        <v>598</v>
      </c>
      <c r="B38" s="85">
        <v>1.5</v>
      </c>
      <c r="C38" s="6" t="s">
        <v>667</v>
      </c>
      <c r="D38" s="6" t="s">
        <v>778</v>
      </c>
      <c r="E38" s="3" t="s">
        <v>489</v>
      </c>
      <c r="F38" s="133">
        <v>37322</v>
      </c>
      <c r="G38" s="3" t="s">
        <v>158</v>
      </c>
    </row>
    <row r="39" spans="1:7" ht="12.75">
      <c r="A39" s="85">
        <f>592+3</f>
        <v>595</v>
      </c>
      <c r="B39" s="85">
        <v>0</v>
      </c>
      <c r="C39" s="6" t="s">
        <v>667</v>
      </c>
      <c r="D39" s="6" t="s">
        <v>778</v>
      </c>
      <c r="E39" s="3" t="s">
        <v>490</v>
      </c>
      <c r="F39" s="133">
        <v>37412</v>
      </c>
      <c r="G39" s="3" t="s">
        <v>158</v>
      </c>
    </row>
    <row r="40" spans="1:7" ht="12.75">
      <c r="A40" s="85">
        <f>595+3</f>
        <v>598</v>
      </c>
      <c r="B40" s="85">
        <v>1.5</v>
      </c>
      <c r="C40" s="6" t="s">
        <v>667</v>
      </c>
      <c r="D40" s="6" t="s">
        <v>778</v>
      </c>
      <c r="E40" s="3" t="s">
        <v>492</v>
      </c>
      <c r="F40" s="133">
        <v>37412</v>
      </c>
      <c r="G40" s="3" t="s">
        <v>158</v>
      </c>
    </row>
    <row r="41" spans="1:6" ht="12.75">
      <c r="A41" s="85">
        <v>616</v>
      </c>
      <c r="B41" s="85">
        <v>0</v>
      </c>
      <c r="C41" s="6" t="s">
        <v>667</v>
      </c>
      <c r="D41" s="6" t="s">
        <v>778</v>
      </c>
      <c r="E41" s="3" t="s">
        <v>1272</v>
      </c>
      <c r="F41" s="137"/>
    </row>
    <row r="42" spans="1:7" ht="12.75">
      <c r="A42" s="85">
        <v>609</v>
      </c>
      <c r="B42" s="85">
        <v>0</v>
      </c>
      <c r="C42" s="6" t="s">
        <v>667</v>
      </c>
      <c r="D42" s="6" t="s">
        <v>778</v>
      </c>
      <c r="E42" s="3" t="s">
        <v>1271</v>
      </c>
      <c r="F42" s="137">
        <v>39053</v>
      </c>
      <c r="G42" s="3" t="s">
        <v>1273</v>
      </c>
    </row>
    <row r="43" spans="1:5" ht="12.75">
      <c r="A43" s="85">
        <v>617</v>
      </c>
      <c r="B43" s="85">
        <v>0</v>
      </c>
      <c r="C43" s="6" t="s">
        <v>667</v>
      </c>
      <c r="D43" s="6" t="s">
        <v>778</v>
      </c>
      <c r="E43" s="3" t="s">
        <v>1198</v>
      </c>
    </row>
    <row r="44" spans="1:5" ht="12.75">
      <c r="A44" s="85">
        <v>617</v>
      </c>
      <c r="B44" s="85">
        <v>0</v>
      </c>
      <c r="C44" s="6" t="s">
        <v>667</v>
      </c>
      <c r="D44" s="6" t="s">
        <v>778</v>
      </c>
      <c r="E44" s="3" t="s">
        <v>1199</v>
      </c>
    </row>
    <row r="45" spans="1:5" ht="12.75">
      <c r="A45" s="85">
        <v>615</v>
      </c>
      <c r="B45" s="85">
        <v>0</v>
      </c>
      <c r="C45" s="6" t="s">
        <v>667</v>
      </c>
      <c r="D45" s="6" t="s">
        <v>778</v>
      </c>
      <c r="E45" s="3" t="s">
        <v>784</v>
      </c>
    </row>
    <row r="46" spans="1:5" ht="12.75">
      <c r="A46" s="85">
        <v>617</v>
      </c>
      <c r="B46" s="85">
        <v>0</v>
      </c>
      <c r="C46" s="6" t="s">
        <v>667</v>
      </c>
      <c r="D46" s="6" t="s">
        <v>778</v>
      </c>
      <c r="E46" s="3" t="s">
        <v>1200</v>
      </c>
    </row>
    <row r="47" spans="1:5" ht="12.75">
      <c r="A47" s="85">
        <v>617</v>
      </c>
      <c r="B47" s="85">
        <v>0</v>
      </c>
      <c r="C47" s="6" t="s">
        <v>667</v>
      </c>
      <c r="D47" s="6" t="s">
        <v>778</v>
      </c>
      <c r="E47" s="3" t="s">
        <v>1202</v>
      </c>
    </row>
    <row r="48" spans="1:5" ht="12.75">
      <c r="A48" s="85">
        <v>602</v>
      </c>
      <c r="B48" s="85">
        <v>0</v>
      </c>
      <c r="C48" s="6" t="s">
        <v>667</v>
      </c>
      <c r="D48" s="6" t="s">
        <v>778</v>
      </c>
      <c r="E48" s="3" t="s">
        <v>785</v>
      </c>
    </row>
    <row r="49" spans="1:5" ht="12.75">
      <c r="A49" s="85">
        <v>617</v>
      </c>
      <c r="B49" s="85">
        <v>0</v>
      </c>
      <c r="C49" s="6" t="s">
        <v>667</v>
      </c>
      <c r="D49" s="6" t="s">
        <v>778</v>
      </c>
      <c r="E49" s="3" t="s">
        <v>1201</v>
      </c>
    </row>
    <row r="50" spans="1:5" ht="12.75">
      <c r="A50" s="85">
        <v>616</v>
      </c>
      <c r="B50" s="85">
        <v>0</v>
      </c>
      <c r="C50" s="6" t="s">
        <v>667</v>
      </c>
      <c r="D50" s="6" t="s">
        <v>778</v>
      </c>
      <c r="E50" s="3" t="s">
        <v>786</v>
      </c>
    </row>
    <row r="51" spans="1:5" ht="12.75">
      <c r="A51" s="85">
        <v>603</v>
      </c>
      <c r="B51" s="85">
        <v>0</v>
      </c>
      <c r="C51" s="6" t="s">
        <v>667</v>
      </c>
      <c r="D51" s="6" t="s">
        <v>778</v>
      </c>
      <c r="E51" s="3" t="s">
        <v>787</v>
      </c>
    </row>
    <row r="52" spans="1:5" ht="12.75">
      <c r="A52" s="85">
        <v>617</v>
      </c>
      <c r="B52" s="85">
        <v>0</v>
      </c>
      <c r="C52" s="6" t="s">
        <v>667</v>
      </c>
      <c r="D52" s="6" t="s">
        <v>778</v>
      </c>
      <c r="E52" s="3" t="s">
        <v>1203</v>
      </c>
    </row>
    <row r="53" spans="1:5" ht="12.75">
      <c r="A53" s="85">
        <v>617</v>
      </c>
      <c r="B53" s="85">
        <v>0</v>
      </c>
      <c r="C53" s="6" t="s">
        <v>667</v>
      </c>
      <c r="D53" s="6" t="s">
        <v>778</v>
      </c>
      <c r="E53" s="3" t="s">
        <v>1205</v>
      </c>
    </row>
    <row r="54" spans="1:5" ht="12.75">
      <c r="A54" s="85">
        <v>617</v>
      </c>
      <c r="B54" s="85">
        <v>0</v>
      </c>
      <c r="C54" s="6" t="s">
        <v>667</v>
      </c>
      <c r="D54" s="6" t="s">
        <v>778</v>
      </c>
      <c r="E54" s="3" t="s">
        <v>1204</v>
      </c>
    </row>
    <row r="55" spans="1:5" ht="12.75">
      <c r="A55" s="85">
        <v>615</v>
      </c>
      <c r="B55" s="85">
        <v>0</v>
      </c>
      <c r="C55" s="6" t="s">
        <v>667</v>
      </c>
      <c r="D55" s="6" t="s">
        <v>778</v>
      </c>
      <c r="E55" s="3" t="s">
        <v>1206</v>
      </c>
    </row>
    <row r="56" spans="1:5" ht="12.75">
      <c r="A56" s="85">
        <v>617</v>
      </c>
      <c r="B56" s="85">
        <v>0</v>
      </c>
      <c r="C56" s="6" t="s">
        <v>667</v>
      </c>
      <c r="D56" s="6" t="s">
        <v>778</v>
      </c>
      <c r="E56" s="3" t="s">
        <v>1210</v>
      </c>
    </row>
    <row r="57" spans="1:5" ht="12.75">
      <c r="A57" s="85">
        <v>617</v>
      </c>
      <c r="B57" s="85">
        <v>0</v>
      </c>
      <c r="C57" s="6" t="s">
        <v>667</v>
      </c>
      <c r="D57" s="6" t="s">
        <v>778</v>
      </c>
      <c r="E57" s="3" t="s">
        <v>1208</v>
      </c>
    </row>
    <row r="58" spans="1:5" ht="12.75">
      <c r="A58" s="85">
        <v>617</v>
      </c>
      <c r="B58" s="85">
        <v>0</v>
      </c>
      <c r="C58" s="6" t="s">
        <v>667</v>
      </c>
      <c r="D58" s="6" t="s">
        <v>778</v>
      </c>
      <c r="E58" s="3" t="s">
        <v>1209</v>
      </c>
    </row>
    <row r="59" spans="1:5" ht="12.75">
      <c r="A59" s="85">
        <v>615</v>
      </c>
      <c r="B59" s="85">
        <v>0</v>
      </c>
      <c r="C59" s="6" t="s">
        <v>667</v>
      </c>
      <c r="D59" s="6" t="s">
        <v>778</v>
      </c>
      <c r="E59" s="3" t="s">
        <v>1207</v>
      </c>
    </row>
    <row r="60" spans="1:5" ht="12.75">
      <c r="A60" s="85">
        <v>617</v>
      </c>
      <c r="B60" s="85">
        <v>0</v>
      </c>
      <c r="C60" s="6" t="s">
        <v>667</v>
      </c>
      <c r="D60" s="6" t="s">
        <v>778</v>
      </c>
      <c r="E60" s="3" t="s">
        <v>269</v>
      </c>
    </row>
    <row r="61" spans="1:5" ht="12.75">
      <c r="A61" s="85">
        <v>562</v>
      </c>
      <c r="B61" s="85">
        <v>0</v>
      </c>
      <c r="C61" s="6" t="s">
        <v>667</v>
      </c>
      <c r="D61" s="6" t="s">
        <v>778</v>
      </c>
      <c r="E61" s="3" t="s">
        <v>690</v>
      </c>
    </row>
    <row r="62" spans="1:5" ht="12.75">
      <c r="A62" s="85">
        <v>617</v>
      </c>
      <c r="B62" s="85">
        <v>0</v>
      </c>
      <c r="C62" s="6" t="s">
        <v>667</v>
      </c>
      <c r="D62" s="6" t="s">
        <v>778</v>
      </c>
      <c r="E62" s="3" t="s">
        <v>1211</v>
      </c>
    </row>
    <row r="63" spans="1:5" ht="12.75">
      <c r="A63" s="85">
        <v>617</v>
      </c>
      <c r="B63" s="85">
        <v>0</v>
      </c>
      <c r="C63" s="6" t="s">
        <v>667</v>
      </c>
      <c r="D63" s="6" t="s">
        <v>778</v>
      </c>
      <c r="E63" s="3" t="s">
        <v>1214</v>
      </c>
    </row>
    <row r="64" spans="1:5" ht="12.75">
      <c r="A64" s="85">
        <v>617</v>
      </c>
      <c r="B64" s="85">
        <v>0</v>
      </c>
      <c r="C64" s="6" t="s">
        <v>667</v>
      </c>
      <c r="D64" s="6" t="s">
        <v>778</v>
      </c>
      <c r="E64" s="3" t="s">
        <v>1213</v>
      </c>
    </row>
    <row r="65" spans="1:5" ht="12.75">
      <c r="A65" s="85">
        <v>617</v>
      </c>
      <c r="B65" s="85">
        <v>0</v>
      </c>
      <c r="C65" s="6" t="s">
        <v>667</v>
      </c>
      <c r="D65" s="6" t="s">
        <v>778</v>
      </c>
      <c r="E65" s="3" t="s">
        <v>1212</v>
      </c>
    </row>
    <row r="66" spans="1:5" ht="12.75">
      <c r="A66" s="85">
        <v>616</v>
      </c>
      <c r="B66" s="85">
        <v>0</v>
      </c>
      <c r="C66" s="6" t="s">
        <v>667</v>
      </c>
      <c r="D66" s="6" t="s">
        <v>778</v>
      </c>
      <c r="E66" s="3" t="s">
        <v>1215</v>
      </c>
    </row>
    <row r="67" spans="1:5" ht="12.75">
      <c r="A67" s="85">
        <v>616</v>
      </c>
      <c r="B67" s="85">
        <v>0</v>
      </c>
      <c r="C67" s="6" t="s">
        <v>667</v>
      </c>
      <c r="D67" s="6" t="s">
        <v>778</v>
      </c>
      <c r="E67" s="3" t="s">
        <v>1216</v>
      </c>
    </row>
    <row r="68" spans="1:7" ht="12.75">
      <c r="A68" s="85">
        <v>572</v>
      </c>
      <c r="B68" s="85">
        <v>0</v>
      </c>
      <c r="C68" s="6" t="s">
        <v>667</v>
      </c>
      <c r="D68" s="6" t="s">
        <v>778</v>
      </c>
      <c r="E68" s="3" t="s">
        <v>266</v>
      </c>
      <c r="G68" s="3" t="s">
        <v>267</v>
      </c>
    </row>
    <row r="69" spans="1:5" ht="12.75">
      <c r="A69" s="85">
        <v>611</v>
      </c>
      <c r="B69" s="85">
        <v>0</v>
      </c>
      <c r="C69" s="6" t="s">
        <v>667</v>
      </c>
      <c r="D69" s="6" t="s">
        <v>778</v>
      </c>
      <c r="E69" s="3" t="s">
        <v>788</v>
      </c>
    </row>
    <row r="70" spans="1:5" ht="12.75">
      <c r="A70" s="85">
        <v>615</v>
      </c>
      <c r="B70" s="85">
        <v>0</v>
      </c>
      <c r="C70" s="6" t="s">
        <v>667</v>
      </c>
      <c r="D70" s="6" t="s">
        <v>778</v>
      </c>
      <c r="E70" s="3" t="s">
        <v>1224</v>
      </c>
    </row>
    <row r="71" spans="1:5" ht="12.75">
      <c r="A71" s="85">
        <v>616</v>
      </c>
      <c r="B71" s="85">
        <v>0</v>
      </c>
      <c r="C71" s="6" t="s">
        <v>667</v>
      </c>
      <c r="D71" s="6" t="s">
        <v>778</v>
      </c>
      <c r="E71" s="3" t="s">
        <v>791</v>
      </c>
    </row>
    <row r="72" spans="1:5" ht="12.75">
      <c r="A72" s="85">
        <v>615</v>
      </c>
      <c r="B72" s="85">
        <v>0</v>
      </c>
      <c r="C72" s="6" t="s">
        <v>667</v>
      </c>
      <c r="D72" s="6" t="s">
        <v>778</v>
      </c>
      <c r="E72" s="3" t="s">
        <v>1222</v>
      </c>
    </row>
    <row r="73" spans="1:5" ht="12.75">
      <c r="A73" s="85">
        <v>615</v>
      </c>
      <c r="B73" s="85">
        <v>0</v>
      </c>
      <c r="C73" s="6" t="s">
        <v>667</v>
      </c>
      <c r="D73" s="6" t="s">
        <v>778</v>
      </c>
      <c r="E73" s="3" t="s">
        <v>1223</v>
      </c>
    </row>
    <row r="74" spans="1:5" ht="12.75">
      <c r="A74" s="85">
        <v>616</v>
      </c>
      <c r="B74" s="85">
        <v>0</v>
      </c>
      <c r="C74" s="6" t="s">
        <v>667</v>
      </c>
      <c r="D74" s="6" t="s">
        <v>778</v>
      </c>
      <c r="E74" s="3" t="s">
        <v>1218</v>
      </c>
    </row>
    <row r="75" spans="1:5" ht="12.75">
      <c r="A75" s="85">
        <v>616</v>
      </c>
      <c r="B75" s="85">
        <v>0</v>
      </c>
      <c r="C75" s="6" t="s">
        <v>667</v>
      </c>
      <c r="D75" s="6" t="s">
        <v>778</v>
      </c>
      <c r="E75" s="3" t="s">
        <v>1217</v>
      </c>
    </row>
    <row r="76" spans="1:7" ht="12.75">
      <c r="A76" s="85">
        <f>584+3</f>
        <v>587</v>
      </c>
      <c r="B76" s="85">
        <v>0</v>
      </c>
      <c r="C76" s="6" t="s">
        <v>667</v>
      </c>
      <c r="D76" s="6" t="s">
        <v>778</v>
      </c>
      <c r="E76" s="3" t="s">
        <v>34</v>
      </c>
      <c r="F76" s="133">
        <v>37235</v>
      </c>
      <c r="G76" s="3" t="s">
        <v>568</v>
      </c>
    </row>
    <row r="77" spans="1:5" ht="12.75">
      <c r="A77" s="85">
        <v>615</v>
      </c>
      <c r="B77" s="85">
        <v>0</v>
      </c>
      <c r="C77" s="6" t="s">
        <v>667</v>
      </c>
      <c r="D77" s="6" t="s">
        <v>778</v>
      </c>
      <c r="E77" s="3" t="s">
        <v>1221</v>
      </c>
    </row>
    <row r="78" spans="1:5" ht="12.75">
      <c r="A78" s="85">
        <v>615</v>
      </c>
      <c r="B78" s="85">
        <v>0</v>
      </c>
      <c r="C78" s="6" t="s">
        <v>667</v>
      </c>
      <c r="D78" s="6" t="s">
        <v>778</v>
      </c>
      <c r="E78" s="3" t="s">
        <v>1220</v>
      </c>
    </row>
    <row r="79" spans="1:7" ht="12.75">
      <c r="A79" s="85">
        <f>609+3</f>
        <v>612</v>
      </c>
      <c r="B79" s="85">
        <v>0</v>
      </c>
      <c r="C79" s="6" t="s">
        <v>667</v>
      </c>
      <c r="D79" s="6" t="s">
        <v>778</v>
      </c>
      <c r="E79" s="3" t="s">
        <v>43</v>
      </c>
      <c r="F79" s="133">
        <v>37235</v>
      </c>
      <c r="G79" s="3" t="s">
        <v>568</v>
      </c>
    </row>
    <row r="80" spans="1:5" ht="12.75">
      <c r="A80" s="85">
        <v>615</v>
      </c>
      <c r="B80" s="85">
        <v>0</v>
      </c>
      <c r="C80" s="6" t="s">
        <v>667</v>
      </c>
      <c r="D80" s="6" t="s">
        <v>778</v>
      </c>
      <c r="E80" s="3" t="s">
        <v>340</v>
      </c>
    </row>
    <row r="81" spans="1:5" ht="12.75">
      <c r="A81" s="85">
        <v>604</v>
      </c>
      <c r="B81" s="85">
        <v>0</v>
      </c>
      <c r="C81" s="6" t="s">
        <v>667</v>
      </c>
      <c r="D81" s="6" t="s">
        <v>778</v>
      </c>
      <c r="E81" s="3" t="s">
        <v>789</v>
      </c>
    </row>
    <row r="82" spans="1:5" ht="12.75">
      <c r="A82" s="85">
        <v>603</v>
      </c>
      <c r="B82" s="85">
        <v>0</v>
      </c>
      <c r="C82" s="6" t="s">
        <v>667</v>
      </c>
      <c r="D82" s="6" t="s">
        <v>778</v>
      </c>
      <c r="E82" s="3" t="s">
        <v>790</v>
      </c>
    </row>
    <row r="83" spans="1:5" ht="12.75">
      <c r="A83" s="85">
        <v>616</v>
      </c>
      <c r="B83" s="85">
        <v>0</v>
      </c>
      <c r="C83" s="6" t="s">
        <v>667</v>
      </c>
      <c r="D83" s="6" t="s">
        <v>778</v>
      </c>
      <c r="E83" s="3" t="s">
        <v>1219</v>
      </c>
    </row>
    <row r="84" spans="1:5" ht="12.75">
      <c r="A84" s="85">
        <v>615</v>
      </c>
      <c r="B84" s="85">
        <v>0</v>
      </c>
      <c r="C84" s="6" t="s">
        <v>667</v>
      </c>
      <c r="D84" s="6" t="s">
        <v>778</v>
      </c>
      <c r="E84" s="3" t="s">
        <v>1225</v>
      </c>
    </row>
    <row r="85" spans="1:7" ht="12.75">
      <c r="A85" s="85">
        <f>612+3</f>
        <v>615</v>
      </c>
      <c r="B85" s="85">
        <v>0</v>
      </c>
      <c r="C85" s="6" t="s">
        <v>667</v>
      </c>
      <c r="D85" s="6" t="s">
        <v>778</v>
      </c>
      <c r="E85" s="3" t="s">
        <v>44</v>
      </c>
      <c r="F85" s="133">
        <v>37235</v>
      </c>
      <c r="G85" s="3" t="s">
        <v>568</v>
      </c>
    </row>
    <row r="86" spans="1:5" ht="12.75">
      <c r="A86" s="85">
        <v>617</v>
      </c>
      <c r="B86" s="85">
        <v>0</v>
      </c>
      <c r="C86" s="6" t="s">
        <v>667</v>
      </c>
      <c r="D86" s="6" t="s">
        <v>778</v>
      </c>
      <c r="E86" s="3" t="s">
        <v>792</v>
      </c>
    </row>
    <row r="87" spans="1:5" ht="12.75">
      <c r="A87" s="85">
        <v>613</v>
      </c>
      <c r="B87" s="85">
        <v>0</v>
      </c>
      <c r="C87" s="6" t="s">
        <v>667</v>
      </c>
      <c r="D87" s="6" t="s">
        <v>778</v>
      </c>
      <c r="E87" s="3" t="s">
        <v>793</v>
      </c>
    </row>
    <row r="88" spans="1:5" ht="12.75">
      <c r="A88" s="85">
        <v>616</v>
      </c>
      <c r="B88" s="85">
        <v>0</v>
      </c>
      <c r="C88" s="6" t="s">
        <v>667</v>
      </c>
      <c r="D88" s="6" t="s">
        <v>778</v>
      </c>
      <c r="E88" s="3" t="s">
        <v>793</v>
      </c>
    </row>
    <row r="89" spans="1:5" ht="12.75">
      <c r="A89" s="85">
        <v>613</v>
      </c>
      <c r="B89" s="85">
        <v>0</v>
      </c>
      <c r="C89" s="6" t="s">
        <v>667</v>
      </c>
      <c r="D89" s="6" t="s">
        <v>778</v>
      </c>
      <c r="E89" s="3" t="s">
        <v>793</v>
      </c>
    </row>
    <row r="90" spans="1:5" ht="12.75">
      <c r="A90" s="85">
        <v>616</v>
      </c>
      <c r="B90" s="85">
        <v>0</v>
      </c>
      <c r="C90" s="6" t="s">
        <v>667</v>
      </c>
      <c r="D90" s="6" t="s">
        <v>778</v>
      </c>
      <c r="E90" s="3" t="s">
        <v>793</v>
      </c>
    </row>
    <row r="91" spans="1:5" ht="12.75">
      <c r="A91" s="85">
        <v>613</v>
      </c>
      <c r="B91" s="85">
        <v>0</v>
      </c>
      <c r="C91" s="6" t="s">
        <v>667</v>
      </c>
      <c r="D91" s="6" t="s">
        <v>778</v>
      </c>
      <c r="E91" s="3" t="s">
        <v>793</v>
      </c>
    </row>
    <row r="92" spans="1:5" ht="12.75">
      <c r="A92" s="85">
        <v>616</v>
      </c>
      <c r="B92" s="85">
        <v>0</v>
      </c>
      <c r="C92" s="6" t="s">
        <v>667</v>
      </c>
      <c r="D92" s="6" t="s">
        <v>778</v>
      </c>
      <c r="E92" s="3" t="s">
        <v>793</v>
      </c>
    </row>
    <row r="93" spans="1:5" ht="12.75">
      <c r="A93" s="85">
        <v>617</v>
      </c>
      <c r="B93" s="85">
        <v>0</v>
      </c>
      <c r="C93" s="6" t="s">
        <v>667</v>
      </c>
      <c r="D93" s="6" t="s">
        <v>778</v>
      </c>
      <c r="E93" s="3" t="s">
        <v>1226</v>
      </c>
    </row>
    <row r="94" spans="1:5" ht="12.75">
      <c r="A94" s="85">
        <v>617</v>
      </c>
      <c r="B94" s="85">
        <v>0</v>
      </c>
      <c r="C94" s="6" t="s">
        <v>667</v>
      </c>
      <c r="D94" s="6" t="s">
        <v>778</v>
      </c>
      <c r="E94" s="3" t="s">
        <v>1227</v>
      </c>
    </row>
    <row r="95" spans="1:5" ht="12.75">
      <c r="A95" s="85">
        <v>618</v>
      </c>
      <c r="B95" s="85">
        <v>0</v>
      </c>
      <c r="C95" s="6" t="s">
        <v>667</v>
      </c>
      <c r="D95" s="6" t="s">
        <v>778</v>
      </c>
      <c r="E95" s="3" t="s">
        <v>1231</v>
      </c>
    </row>
    <row r="96" spans="1:5" ht="12.75">
      <c r="A96" s="85">
        <v>618</v>
      </c>
      <c r="B96" s="85">
        <v>0</v>
      </c>
      <c r="C96" s="6" t="s">
        <v>667</v>
      </c>
      <c r="D96" s="6" t="s">
        <v>778</v>
      </c>
      <c r="E96" s="3" t="s">
        <v>1229</v>
      </c>
    </row>
    <row r="97" spans="1:5" ht="12.75">
      <c r="A97" s="85">
        <v>618</v>
      </c>
      <c r="B97" s="85">
        <v>0</v>
      </c>
      <c r="C97" s="6" t="s">
        <v>667</v>
      </c>
      <c r="D97" s="6" t="s">
        <v>778</v>
      </c>
      <c r="E97" s="3" t="s">
        <v>1230</v>
      </c>
    </row>
    <row r="98" spans="1:5" ht="12.75">
      <c r="A98" s="85">
        <v>617</v>
      </c>
      <c r="B98" s="85">
        <v>0</v>
      </c>
      <c r="C98" s="6" t="s">
        <v>667</v>
      </c>
      <c r="D98" s="6" t="s">
        <v>778</v>
      </c>
      <c r="E98" s="3" t="s">
        <v>1228</v>
      </c>
    </row>
    <row r="99" spans="1:5" ht="12.75">
      <c r="A99" s="85">
        <v>603</v>
      </c>
      <c r="B99" s="85">
        <v>0</v>
      </c>
      <c r="C99" s="6" t="s">
        <v>667</v>
      </c>
      <c r="D99" s="6" t="s">
        <v>778</v>
      </c>
      <c r="E99" s="3" t="s">
        <v>798</v>
      </c>
    </row>
    <row r="100" spans="1:7" ht="12.75">
      <c r="A100" s="85">
        <v>608.1</v>
      </c>
      <c r="B100" s="85">
        <v>0</v>
      </c>
      <c r="C100" s="6" t="s">
        <v>667</v>
      </c>
      <c r="D100" s="6" t="s">
        <v>778</v>
      </c>
      <c r="E100" s="3" t="s">
        <v>171</v>
      </c>
      <c r="F100" s="133">
        <v>37318</v>
      </c>
      <c r="G100" s="3" t="s">
        <v>158</v>
      </c>
    </row>
    <row r="101" spans="1:7" ht="12.75">
      <c r="A101" s="85">
        <v>603.7</v>
      </c>
      <c r="B101" s="85">
        <v>0</v>
      </c>
      <c r="C101" s="6" t="s">
        <v>667</v>
      </c>
      <c r="D101" s="6" t="s">
        <v>778</v>
      </c>
      <c r="E101" s="3" t="s">
        <v>172</v>
      </c>
      <c r="F101" s="133">
        <v>37318</v>
      </c>
      <c r="G101" s="3" t="s">
        <v>158</v>
      </c>
    </row>
    <row r="102" spans="1:5" ht="12.75">
      <c r="A102" s="85">
        <v>608</v>
      </c>
      <c r="B102" s="85">
        <v>0</v>
      </c>
      <c r="C102" s="6" t="s">
        <v>667</v>
      </c>
      <c r="D102" s="6" t="s">
        <v>778</v>
      </c>
      <c r="E102" s="3" t="s">
        <v>799</v>
      </c>
    </row>
    <row r="103" spans="1:5" ht="12.75">
      <c r="A103" s="85">
        <v>618</v>
      </c>
      <c r="B103" s="85">
        <v>0</v>
      </c>
      <c r="C103" s="6" t="s">
        <v>667</v>
      </c>
      <c r="D103" s="6" t="s">
        <v>778</v>
      </c>
      <c r="E103" s="3" t="s">
        <v>1232</v>
      </c>
    </row>
    <row r="104" spans="1:5" ht="12.75">
      <c r="A104" s="85">
        <v>556</v>
      </c>
      <c r="B104" s="85">
        <v>0</v>
      </c>
      <c r="C104" s="6" t="s">
        <v>667</v>
      </c>
      <c r="D104" s="6" t="s">
        <v>778</v>
      </c>
      <c r="E104" s="3" t="s">
        <v>800</v>
      </c>
    </row>
    <row r="105" spans="1:5" ht="12.75">
      <c r="A105" s="85">
        <v>556</v>
      </c>
      <c r="B105" s="85">
        <v>0</v>
      </c>
      <c r="C105" s="6" t="s">
        <v>667</v>
      </c>
      <c r="D105" s="6" t="s">
        <v>778</v>
      </c>
      <c r="E105" s="3" t="s">
        <v>801</v>
      </c>
    </row>
    <row r="106" spans="1:5" ht="12.75">
      <c r="A106" s="85">
        <v>613</v>
      </c>
      <c r="B106" s="85">
        <v>0</v>
      </c>
      <c r="C106" s="6" t="s">
        <v>667</v>
      </c>
      <c r="D106" s="6" t="s">
        <v>778</v>
      </c>
      <c r="E106" s="3" t="s">
        <v>803</v>
      </c>
    </row>
    <row r="107" spans="1:5" ht="12.75">
      <c r="A107" s="85">
        <v>604</v>
      </c>
      <c r="B107" s="85">
        <v>0</v>
      </c>
      <c r="C107" s="6" t="s">
        <v>667</v>
      </c>
      <c r="D107" s="6" t="s">
        <v>778</v>
      </c>
      <c r="E107" s="3" t="s">
        <v>804</v>
      </c>
    </row>
    <row r="108" spans="1:5" ht="12.75">
      <c r="A108" s="85">
        <v>602</v>
      </c>
      <c r="B108" s="85">
        <v>0</v>
      </c>
      <c r="C108" s="6" t="s">
        <v>667</v>
      </c>
      <c r="D108" s="6" t="s">
        <v>778</v>
      </c>
      <c r="E108" s="3" t="s">
        <v>805</v>
      </c>
    </row>
    <row r="109" spans="1:5" ht="12.75">
      <c r="A109" s="85">
        <v>614</v>
      </c>
      <c r="B109" s="85">
        <v>0</v>
      </c>
      <c r="C109" s="6" t="s">
        <v>667</v>
      </c>
      <c r="D109" s="6" t="s">
        <v>778</v>
      </c>
      <c r="E109" s="3" t="s">
        <v>806</v>
      </c>
    </row>
    <row r="110" spans="1:5" ht="12.75">
      <c r="A110" s="85">
        <v>602</v>
      </c>
      <c r="B110" s="85">
        <v>0</v>
      </c>
      <c r="C110" s="6" t="s">
        <v>667</v>
      </c>
      <c r="D110" s="6" t="s">
        <v>778</v>
      </c>
      <c r="E110" s="3" t="s">
        <v>807</v>
      </c>
    </row>
    <row r="111" spans="1:5" ht="12.75">
      <c r="A111" s="85">
        <v>582</v>
      </c>
      <c r="B111" s="85">
        <v>0</v>
      </c>
      <c r="C111" s="6" t="s">
        <v>667</v>
      </c>
      <c r="D111" s="6" t="s">
        <v>778</v>
      </c>
      <c r="E111" s="3" t="s">
        <v>863</v>
      </c>
    </row>
    <row r="112" spans="1:5" ht="12.75">
      <c r="A112" s="85">
        <v>614</v>
      </c>
      <c r="B112" s="85">
        <v>0</v>
      </c>
      <c r="C112" s="6" t="s">
        <v>667</v>
      </c>
      <c r="D112" s="6" t="s">
        <v>778</v>
      </c>
      <c r="E112" s="3" t="s">
        <v>864</v>
      </c>
    </row>
    <row r="113" spans="1:5" ht="12.75">
      <c r="A113" s="85">
        <v>611</v>
      </c>
      <c r="B113" s="85">
        <v>0</v>
      </c>
      <c r="C113" s="6" t="s">
        <v>667</v>
      </c>
      <c r="D113" s="6" t="s">
        <v>778</v>
      </c>
      <c r="E113" s="3" t="s">
        <v>865</v>
      </c>
    </row>
    <row r="114" spans="1:5" ht="12.75">
      <c r="A114" s="85">
        <v>600</v>
      </c>
      <c r="B114" s="85">
        <v>0</v>
      </c>
      <c r="C114" s="6" t="s">
        <v>667</v>
      </c>
      <c r="D114" s="6" t="s">
        <v>778</v>
      </c>
      <c r="E114" s="3" t="s">
        <v>866</v>
      </c>
    </row>
    <row r="115" spans="1:5" ht="12.75">
      <c r="A115" s="85">
        <v>608</v>
      </c>
      <c r="B115" s="85">
        <v>0</v>
      </c>
      <c r="C115" s="6" t="s">
        <v>667</v>
      </c>
      <c r="D115" s="6" t="s">
        <v>778</v>
      </c>
      <c r="E115" s="3" t="s">
        <v>867</v>
      </c>
    </row>
    <row r="116" spans="1:5" ht="12.75">
      <c r="A116" s="85">
        <v>616</v>
      </c>
      <c r="B116" s="85">
        <v>0</v>
      </c>
      <c r="C116" s="6" t="s">
        <v>667</v>
      </c>
      <c r="D116" s="6" t="s">
        <v>778</v>
      </c>
      <c r="E116" s="3" t="s">
        <v>1190</v>
      </c>
    </row>
    <row r="117" spans="1:5" ht="12.75">
      <c r="A117" s="85">
        <v>616</v>
      </c>
      <c r="B117" s="85">
        <v>0</v>
      </c>
      <c r="C117" s="6" t="s">
        <v>667</v>
      </c>
      <c r="D117" s="6" t="s">
        <v>778</v>
      </c>
      <c r="E117" s="3" t="s">
        <v>1188</v>
      </c>
    </row>
    <row r="118" spans="1:5" ht="12.75">
      <c r="A118" s="85">
        <v>616</v>
      </c>
      <c r="B118" s="85">
        <v>0</v>
      </c>
      <c r="C118" s="6" t="s">
        <v>667</v>
      </c>
      <c r="D118" s="6" t="s">
        <v>778</v>
      </c>
      <c r="E118" s="3" t="s">
        <v>1189</v>
      </c>
    </row>
    <row r="119" spans="1:5" ht="12.75">
      <c r="A119" s="85">
        <v>616</v>
      </c>
      <c r="B119" s="85">
        <v>0</v>
      </c>
      <c r="C119" s="6" t="s">
        <v>667</v>
      </c>
      <c r="D119" s="6" t="s">
        <v>778</v>
      </c>
      <c r="E119" s="3" t="s">
        <v>1192</v>
      </c>
    </row>
    <row r="120" spans="1:5" ht="12.75">
      <c r="A120" s="85">
        <v>616</v>
      </c>
      <c r="B120" s="85">
        <v>0</v>
      </c>
      <c r="C120" s="6" t="s">
        <v>667</v>
      </c>
      <c r="D120" s="6" t="s">
        <v>778</v>
      </c>
      <c r="E120" s="3" t="s">
        <v>1191</v>
      </c>
    </row>
    <row r="121" spans="1:5" ht="12.75">
      <c r="A121" s="85">
        <v>614</v>
      </c>
      <c r="B121" s="85">
        <v>0</v>
      </c>
      <c r="C121" s="6" t="s">
        <v>667</v>
      </c>
      <c r="D121" s="6" t="s">
        <v>778</v>
      </c>
      <c r="E121" s="3" t="s">
        <v>868</v>
      </c>
    </row>
    <row r="122" spans="1:7" ht="12.75">
      <c r="A122" s="85">
        <v>596</v>
      </c>
      <c r="B122" s="85">
        <v>0</v>
      </c>
      <c r="C122" s="6" t="s">
        <v>667</v>
      </c>
      <c r="D122" s="6" t="s">
        <v>778</v>
      </c>
      <c r="E122" s="3" t="s">
        <v>1538</v>
      </c>
      <c r="F122" s="137">
        <v>38519</v>
      </c>
      <c r="G122" s="3" t="s">
        <v>1539</v>
      </c>
    </row>
    <row r="123" spans="1:7" ht="12.75">
      <c r="A123" s="85">
        <v>569</v>
      </c>
      <c r="B123" s="85">
        <v>0</v>
      </c>
      <c r="C123" s="6" t="s">
        <v>667</v>
      </c>
      <c r="D123" s="6" t="s">
        <v>778</v>
      </c>
      <c r="E123" s="3" t="s">
        <v>835</v>
      </c>
      <c r="F123" s="137">
        <v>38520</v>
      </c>
      <c r="G123" s="95" t="s">
        <v>834</v>
      </c>
    </row>
    <row r="124" spans="1:5" ht="12.75">
      <c r="A124" s="85">
        <v>566</v>
      </c>
      <c r="B124" s="85">
        <v>0</v>
      </c>
      <c r="C124" s="6" t="s">
        <v>667</v>
      </c>
      <c r="D124" s="6" t="s">
        <v>778</v>
      </c>
      <c r="E124" s="3" t="s">
        <v>869</v>
      </c>
    </row>
    <row r="125" spans="1:7" ht="12.75">
      <c r="A125" s="85">
        <v>530</v>
      </c>
      <c r="B125" s="85">
        <v>0</v>
      </c>
      <c r="C125" s="6" t="s">
        <v>667</v>
      </c>
      <c r="D125" s="6" t="s">
        <v>778</v>
      </c>
      <c r="E125" s="3" t="s">
        <v>842</v>
      </c>
      <c r="F125" s="137">
        <v>38520</v>
      </c>
      <c r="G125" s="95" t="s">
        <v>834</v>
      </c>
    </row>
    <row r="126" spans="1:7" ht="12.75">
      <c r="A126" s="85">
        <v>484</v>
      </c>
      <c r="B126" s="85">
        <v>0</v>
      </c>
      <c r="C126" s="6" t="s">
        <v>667</v>
      </c>
      <c r="D126" s="6" t="s">
        <v>778</v>
      </c>
      <c r="E126" s="3" t="s">
        <v>845</v>
      </c>
      <c r="F126" s="137">
        <v>38520</v>
      </c>
      <c r="G126" s="95" t="s">
        <v>834</v>
      </c>
    </row>
    <row r="127" spans="1:5" ht="12.75">
      <c r="A127" s="85">
        <v>530</v>
      </c>
      <c r="B127" s="85">
        <v>0</v>
      </c>
      <c r="C127" s="6" t="s">
        <v>667</v>
      </c>
      <c r="D127" s="6" t="s">
        <v>778</v>
      </c>
      <c r="E127" s="3" t="s">
        <v>870</v>
      </c>
    </row>
    <row r="128" spans="1:5" ht="12.75">
      <c r="A128" s="85">
        <v>532</v>
      </c>
      <c r="B128" s="85">
        <v>0</v>
      </c>
      <c r="C128" s="6" t="s">
        <v>871</v>
      </c>
      <c r="D128" s="6" t="s">
        <v>778</v>
      </c>
      <c r="E128" s="3" t="s">
        <v>879</v>
      </c>
    </row>
    <row r="129" spans="1:7" ht="12.75">
      <c r="A129" s="85">
        <v>559</v>
      </c>
      <c r="B129" s="85">
        <v>0</v>
      </c>
      <c r="C129" s="6" t="s">
        <v>871</v>
      </c>
      <c r="D129" s="6" t="s">
        <v>778</v>
      </c>
      <c r="E129" s="3" t="s">
        <v>1297</v>
      </c>
      <c r="F129" s="137">
        <v>39041</v>
      </c>
      <c r="G129" s="3" t="s">
        <v>1289</v>
      </c>
    </row>
    <row r="130" spans="1:7" ht="12.75">
      <c r="A130" s="85">
        <v>560</v>
      </c>
      <c r="B130" s="85">
        <v>0</v>
      </c>
      <c r="C130" s="6" t="s">
        <v>871</v>
      </c>
      <c r="D130" s="6" t="s">
        <v>778</v>
      </c>
      <c r="E130" s="3" t="s">
        <v>1300</v>
      </c>
      <c r="F130" s="137">
        <v>39041</v>
      </c>
      <c r="G130" s="3" t="s">
        <v>1289</v>
      </c>
    </row>
    <row r="131" spans="1:5" ht="12.75">
      <c r="A131" s="85">
        <v>520</v>
      </c>
      <c r="B131" s="85">
        <v>0</v>
      </c>
      <c r="C131" s="6" t="s">
        <v>871</v>
      </c>
      <c r="D131" s="6" t="s">
        <v>778</v>
      </c>
      <c r="E131" s="3" t="s">
        <v>676</v>
      </c>
    </row>
    <row r="132" spans="1:5" ht="12.75">
      <c r="A132" s="85">
        <v>558</v>
      </c>
      <c r="B132" s="85">
        <v>0</v>
      </c>
      <c r="C132" s="6" t="s">
        <v>871</v>
      </c>
      <c r="D132" s="6" t="s">
        <v>778</v>
      </c>
      <c r="E132" s="3" t="s">
        <v>1181</v>
      </c>
    </row>
    <row r="133" spans="1:7" ht="12.75">
      <c r="A133" s="85">
        <v>553.3</v>
      </c>
      <c r="B133" s="85">
        <v>0</v>
      </c>
      <c r="C133" s="6" t="s">
        <v>871</v>
      </c>
      <c r="D133" s="6" t="s">
        <v>778</v>
      </c>
      <c r="E133" s="3" t="s">
        <v>1187</v>
      </c>
      <c r="F133" s="133">
        <v>37255</v>
      </c>
      <c r="G133" s="3" t="s">
        <v>1091</v>
      </c>
    </row>
    <row r="134" spans="1:7" ht="12.75">
      <c r="A134" s="85">
        <v>563.4</v>
      </c>
      <c r="B134" s="85">
        <v>0</v>
      </c>
      <c r="C134" s="6" t="s">
        <v>871</v>
      </c>
      <c r="D134" s="6" t="s">
        <v>778</v>
      </c>
      <c r="E134" s="3" t="s">
        <v>1184</v>
      </c>
      <c r="F134" s="133">
        <v>37255</v>
      </c>
      <c r="G134" s="3" t="s">
        <v>1091</v>
      </c>
    </row>
    <row r="135" spans="1:7" ht="12.75">
      <c r="A135" s="85">
        <v>530</v>
      </c>
      <c r="B135" s="85">
        <v>0</v>
      </c>
      <c r="C135" s="6" t="s">
        <v>871</v>
      </c>
      <c r="D135" s="6" t="s">
        <v>778</v>
      </c>
      <c r="E135" s="3" t="s">
        <v>1178</v>
      </c>
      <c r="F135" s="133">
        <v>37255</v>
      </c>
      <c r="G135" s="3" t="s">
        <v>1091</v>
      </c>
    </row>
    <row r="136" spans="1:5" ht="12.75">
      <c r="A136" s="85">
        <v>568</v>
      </c>
      <c r="B136" s="85">
        <v>0</v>
      </c>
      <c r="C136" s="6" t="s">
        <v>871</v>
      </c>
      <c r="D136" s="6" t="s">
        <v>778</v>
      </c>
      <c r="E136" s="3" t="s">
        <v>786</v>
      </c>
    </row>
    <row r="137" spans="1:7" ht="12.75">
      <c r="A137" s="85">
        <v>565</v>
      </c>
      <c r="B137" s="85">
        <v>0</v>
      </c>
      <c r="C137" s="6" t="s">
        <v>871</v>
      </c>
      <c r="D137" s="6" t="s">
        <v>778</v>
      </c>
      <c r="E137" s="3" t="s">
        <v>269</v>
      </c>
      <c r="G137" s="3" t="s">
        <v>270</v>
      </c>
    </row>
    <row r="138" spans="1:5" ht="12.75">
      <c r="A138" s="85">
        <v>511</v>
      </c>
      <c r="B138" s="85">
        <v>0</v>
      </c>
      <c r="C138" s="6" t="s">
        <v>871</v>
      </c>
      <c r="D138" s="6" t="s">
        <v>778</v>
      </c>
      <c r="E138" s="3" t="s">
        <v>690</v>
      </c>
    </row>
    <row r="139" spans="1:7" ht="12.75">
      <c r="A139" s="85">
        <v>522</v>
      </c>
      <c r="B139" s="85">
        <v>0</v>
      </c>
      <c r="C139" s="6" t="s">
        <v>871</v>
      </c>
      <c r="D139" s="6" t="s">
        <v>778</v>
      </c>
      <c r="E139" s="3" t="s">
        <v>266</v>
      </c>
      <c r="G139" s="3" t="s">
        <v>268</v>
      </c>
    </row>
    <row r="140" spans="1:5" ht="12.75">
      <c r="A140" s="85">
        <v>577</v>
      </c>
      <c r="B140" s="85">
        <v>0</v>
      </c>
      <c r="C140" s="6" t="s">
        <v>871</v>
      </c>
      <c r="D140" s="6" t="s">
        <v>778</v>
      </c>
      <c r="E140" s="3" t="s">
        <v>880</v>
      </c>
    </row>
    <row r="141" spans="1:5" ht="12.75">
      <c r="A141" s="85">
        <v>576</v>
      </c>
      <c r="B141" s="85">
        <v>0</v>
      </c>
      <c r="C141" s="6" t="s">
        <v>871</v>
      </c>
      <c r="D141" s="6" t="s">
        <v>778</v>
      </c>
      <c r="E141" s="3" t="s">
        <v>881</v>
      </c>
    </row>
    <row r="142" spans="1:5" ht="12.75">
      <c r="A142" s="85">
        <v>563</v>
      </c>
      <c r="B142" s="85">
        <v>0</v>
      </c>
      <c r="C142" s="6" t="s">
        <v>871</v>
      </c>
      <c r="D142" s="6" t="s">
        <v>778</v>
      </c>
      <c r="E142" s="3" t="s">
        <v>882</v>
      </c>
    </row>
    <row r="143" spans="1:5" ht="12.75">
      <c r="A143" s="85">
        <v>557</v>
      </c>
      <c r="B143" s="85">
        <v>0</v>
      </c>
      <c r="C143" s="6" t="s">
        <v>871</v>
      </c>
      <c r="D143" s="6" t="s">
        <v>778</v>
      </c>
      <c r="E143" s="3" t="s">
        <v>789</v>
      </c>
    </row>
    <row r="144" spans="1:7" ht="12.75">
      <c r="A144" s="85">
        <v>530.4</v>
      </c>
      <c r="B144" s="85">
        <v>0</v>
      </c>
      <c r="C144" s="6" t="s">
        <v>871</v>
      </c>
      <c r="D144" s="6" t="s">
        <v>778</v>
      </c>
      <c r="E144" s="3" t="s">
        <v>636</v>
      </c>
      <c r="F144" s="133">
        <v>37382</v>
      </c>
      <c r="G144" s="3" t="s">
        <v>158</v>
      </c>
    </row>
    <row r="145" spans="1:7" ht="12.75">
      <c r="A145" s="85">
        <v>553</v>
      </c>
      <c r="B145" s="85">
        <v>0</v>
      </c>
      <c r="C145" s="6" t="s">
        <v>871</v>
      </c>
      <c r="D145" s="6" t="s">
        <v>778</v>
      </c>
      <c r="E145" s="3" t="s">
        <v>171</v>
      </c>
      <c r="F145" s="133">
        <v>37318</v>
      </c>
      <c r="G145" s="3" t="s">
        <v>158</v>
      </c>
    </row>
    <row r="146" spans="1:7" ht="12.75">
      <c r="A146" s="85">
        <v>553</v>
      </c>
      <c r="B146" s="85">
        <v>0</v>
      </c>
      <c r="C146" s="6" t="s">
        <v>871</v>
      </c>
      <c r="D146" s="6" t="s">
        <v>778</v>
      </c>
      <c r="E146" s="3" t="s">
        <v>172</v>
      </c>
      <c r="F146" s="133">
        <v>37318</v>
      </c>
      <c r="G146" s="3" t="s">
        <v>158</v>
      </c>
    </row>
    <row r="147" spans="1:5" ht="12.75">
      <c r="A147" s="85">
        <v>558</v>
      </c>
      <c r="B147" s="85">
        <v>0</v>
      </c>
      <c r="C147" s="6" t="s">
        <v>871</v>
      </c>
      <c r="D147" s="6" t="s">
        <v>778</v>
      </c>
      <c r="E147" s="3" t="s">
        <v>799</v>
      </c>
    </row>
    <row r="148" spans="1:5" ht="12.75">
      <c r="A148" s="85">
        <v>507</v>
      </c>
      <c r="B148" s="85">
        <v>0</v>
      </c>
      <c r="C148" s="6" t="s">
        <v>871</v>
      </c>
      <c r="D148" s="6" t="s">
        <v>778</v>
      </c>
      <c r="E148" s="3" t="s">
        <v>800</v>
      </c>
    </row>
    <row r="149" spans="1:5" ht="12.75">
      <c r="A149" s="85">
        <v>507</v>
      </c>
      <c r="B149" s="85">
        <v>0</v>
      </c>
      <c r="C149" s="6" t="s">
        <v>871</v>
      </c>
      <c r="D149" s="6" t="s">
        <v>778</v>
      </c>
      <c r="E149" s="3" t="s">
        <v>801</v>
      </c>
    </row>
    <row r="150" spans="1:5" ht="12.75">
      <c r="A150" s="85">
        <v>560</v>
      </c>
      <c r="B150" s="85">
        <v>0</v>
      </c>
      <c r="C150" s="6" t="s">
        <v>871</v>
      </c>
      <c r="D150" s="6" t="s">
        <v>778</v>
      </c>
      <c r="E150" s="3" t="s">
        <v>883</v>
      </c>
    </row>
    <row r="151" spans="1:5" ht="12.75">
      <c r="A151" s="85">
        <v>552</v>
      </c>
      <c r="B151" s="85">
        <v>0</v>
      </c>
      <c r="C151" s="6" t="s">
        <v>871</v>
      </c>
      <c r="D151" s="6" t="s">
        <v>778</v>
      </c>
      <c r="E151" s="3" t="s">
        <v>884</v>
      </c>
    </row>
    <row r="152" spans="1:5" ht="12.75">
      <c r="A152" s="85">
        <v>560</v>
      </c>
      <c r="B152" s="85">
        <v>0</v>
      </c>
      <c r="C152" s="6" t="s">
        <v>871</v>
      </c>
      <c r="D152" s="6" t="s">
        <v>778</v>
      </c>
      <c r="E152" s="3" t="s">
        <v>885</v>
      </c>
    </row>
    <row r="153" spans="1:5" ht="12.75">
      <c r="A153" s="85">
        <v>554</v>
      </c>
      <c r="B153" s="85">
        <v>0</v>
      </c>
      <c r="C153" s="6" t="s">
        <v>871</v>
      </c>
      <c r="D153" s="6" t="s">
        <v>778</v>
      </c>
      <c r="E153" s="3" t="s">
        <v>807</v>
      </c>
    </row>
    <row r="154" spans="1:5" ht="12.75">
      <c r="A154" s="85">
        <v>531</v>
      </c>
      <c r="B154" s="85">
        <v>0</v>
      </c>
      <c r="C154" s="6" t="s">
        <v>871</v>
      </c>
      <c r="D154" s="6" t="s">
        <v>778</v>
      </c>
      <c r="E154" s="3" t="s">
        <v>863</v>
      </c>
    </row>
    <row r="155" spans="1:5" ht="12.75">
      <c r="A155" s="85">
        <v>558</v>
      </c>
      <c r="B155" s="85">
        <v>0</v>
      </c>
      <c r="C155" s="6" t="s">
        <v>871</v>
      </c>
      <c r="D155" s="6" t="s">
        <v>778</v>
      </c>
      <c r="E155" s="3" t="s">
        <v>865</v>
      </c>
    </row>
    <row r="156" spans="1:5" ht="12.75">
      <c r="A156" s="85">
        <v>550</v>
      </c>
      <c r="B156" s="85">
        <v>0</v>
      </c>
      <c r="C156" s="6" t="s">
        <v>871</v>
      </c>
      <c r="D156" s="6" t="s">
        <v>778</v>
      </c>
      <c r="E156" s="3" t="s">
        <v>866</v>
      </c>
    </row>
    <row r="157" spans="1:7" ht="12.75">
      <c r="A157" s="85">
        <v>521</v>
      </c>
      <c r="B157" s="85">
        <v>0</v>
      </c>
      <c r="C157" s="6" t="s">
        <v>871</v>
      </c>
      <c r="D157" s="6" t="s">
        <v>778</v>
      </c>
      <c r="E157" s="3" t="s">
        <v>836</v>
      </c>
      <c r="F157" s="137">
        <v>38661</v>
      </c>
      <c r="G157" s="95" t="s">
        <v>834</v>
      </c>
    </row>
    <row r="158" spans="1:5" ht="12.75">
      <c r="A158" s="85">
        <v>520</v>
      </c>
      <c r="B158" s="85">
        <v>0</v>
      </c>
      <c r="C158" s="6" t="s">
        <v>871</v>
      </c>
      <c r="D158" s="6" t="s">
        <v>778</v>
      </c>
      <c r="E158" s="3" t="s">
        <v>886</v>
      </c>
    </row>
    <row r="159" spans="1:7" ht="12.75">
      <c r="A159" s="85">
        <v>484</v>
      </c>
      <c r="B159" s="85">
        <v>0</v>
      </c>
      <c r="C159" s="6" t="s">
        <v>871</v>
      </c>
      <c r="D159" s="6" t="s">
        <v>778</v>
      </c>
      <c r="E159" s="3" t="s">
        <v>841</v>
      </c>
      <c r="F159" s="137">
        <v>38661</v>
      </c>
      <c r="G159" s="95" t="s">
        <v>834</v>
      </c>
    </row>
    <row r="160" spans="1:5" ht="12.75">
      <c r="A160" s="85">
        <v>482</v>
      </c>
      <c r="B160" s="85">
        <v>0</v>
      </c>
      <c r="C160" s="6" t="s">
        <v>871</v>
      </c>
      <c r="D160" s="6" t="s">
        <v>778</v>
      </c>
      <c r="E160" s="3" t="s">
        <v>887</v>
      </c>
    </row>
    <row r="161" spans="1:5" ht="12.75">
      <c r="A161" s="85">
        <f>24.5*25.4</f>
        <v>622.3</v>
      </c>
      <c r="B161" s="85">
        <v>0</v>
      </c>
      <c r="C161" s="6" t="s">
        <v>892</v>
      </c>
      <c r="D161" s="6" t="s">
        <v>778</v>
      </c>
      <c r="E161" s="3" t="s">
        <v>893</v>
      </c>
    </row>
    <row r="162" spans="1:7" ht="12.75">
      <c r="A162" s="85">
        <v>481</v>
      </c>
      <c r="B162" s="85">
        <v>0</v>
      </c>
      <c r="C162" s="6" t="s">
        <v>1351</v>
      </c>
      <c r="D162" s="6" t="s">
        <v>778</v>
      </c>
      <c r="E162" s="3" t="s">
        <v>879</v>
      </c>
      <c r="F162" s="1"/>
      <c r="G162" s="1"/>
    </row>
    <row r="163" spans="1:5" ht="12.75">
      <c r="A163" s="85">
        <v>506</v>
      </c>
      <c r="B163" s="85">
        <v>0</v>
      </c>
      <c r="C163" s="6" t="s">
        <v>1351</v>
      </c>
      <c r="D163" s="6" t="s">
        <v>778</v>
      </c>
      <c r="E163" s="3" t="s">
        <v>1181</v>
      </c>
    </row>
    <row r="164" spans="1:7" ht="12.75">
      <c r="A164" s="85">
        <v>503.2</v>
      </c>
      <c r="B164" s="85">
        <v>0</v>
      </c>
      <c r="C164" s="6" t="s">
        <v>1351</v>
      </c>
      <c r="D164" s="6" t="s">
        <v>778</v>
      </c>
      <c r="E164" s="3" t="s">
        <v>1187</v>
      </c>
      <c r="F164" s="133">
        <v>37255</v>
      </c>
      <c r="G164" s="3" t="s">
        <v>1091</v>
      </c>
    </row>
    <row r="165" spans="1:7" ht="12.75">
      <c r="A165" s="85">
        <v>478.2</v>
      </c>
      <c r="B165" s="85">
        <v>0</v>
      </c>
      <c r="C165" s="6" t="s">
        <v>1351</v>
      </c>
      <c r="D165" s="6" t="s">
        <v>778</v>
      </c>
      <c r="E165" s="3" t="s">
        <v>1178</v>
      </c>
      <c r="F165" s="133">
        <v>37255</v>
      </c>
      <c r="G165" s="3" t="s">
        <v>1091</v>
      </c>
    </row>
    <row r="166" spans="1:5" ht="12.75">
      <c r="A166" s="85">
        <v>517</v>
      </c>
      <c r="B166" s="85">
        <v>0</v>
      </c>
      <c r="C166" s="6" t="s">
        <v>1351</v>
      </c>
      <c r="D166" s="6" t="s">
        <v>778</v>
      </c>
      <c r="E166" s="3" t="s">
        <v>880</v>
      </c>
    </row>
    <row r="167" spans="1:5" ht="12.75">
      <c r="A167" s="85">
        <v>517</v>
      </c>
      <c r="B167" s="85">
        <v>0</v>
      </c>
      <c r="C167" s="6" t="s">
        <v>1351</v>
      </c>
      <c r="D167" s="6" t="s">
        <v>778</v>
      </c>
      <c r="E167" s="3" t="s">
        <v>881</v>
      </c>
    </row>
    <row r="168" spans="1:5" ht="12.75">
      <c r="A168" s="85">
        <v>504</v>
      </c>
      <c r="B168" s="85">
        <v>0</v>
      </c>
      <c r="C168" s="6" t="s">
        <v>1351</v>
      </c>
      <c r="D168" s="6" t="s">
        <v>778</v>
      </c>
      <c r="E168" s="3" t="s">
        <v>882</v>
      </c>
    </row>
    <row r="169" spans="1:5" ht="12.75">
      <c r="A169" s="85">
        <v>509</v>
      </c>
      <c r="B169" s="85">
        <v>0</v>
      </c>
      <c r="C169" s="6" t="s">
        <v>1351</v>
      </c>
      <c r="D169" s="6" t="s">
        <v>778</v>
      </c>
      <c r="E169" s="3" t="s">
        <v>1352</v>
      </c>
    </row>
    <row r="170" spans="1:5" ht="12.75">
      <c r="A170" s="85">
        <v>512</v>
      </c>
      <c r="B170" s="85">
        <v>0</v>
      </c>
      <c r="C170" s="6" t="s">
        <v>1351</v>
      </c>
      <c r="D170" s="6" t="s">
        <v>778</v>
      </c>
      <c r="E170" s="3" t="s">
        <v>1352</v>
      </c>
    </row>
    <row r="171" spans="1:5" ht="12.75">
      <c r="A171" s="85">
        <v>509</v>
      </c>
      <c r="B171" s="85">
        <v>0</v>
      </c>
      <c r="C171" s="6" t="s">
        <v>1351</v>
      </c>
      <c r="D171" s="6" t="s">
        <v>778</v>
      </c>
      <c r="E171" s="3" t="s">
        <v>1352</v>
      </c>
    </row>
    <row r="172" spans="1:5" ht="12.75">
      <c r="A172" s="85">
        <v>512</v>
      </c>
      <c r="B172" s="85">
        <v>0</v>
      </c>
      <c r="C172" s="6" t="s">
        <v>1351</v>
      </c>
      <c r="D172" s="6" t="s">
        <v>778</v>
      </c>
      <c r="E172" s="3" t="s">
        <v>1352</v>
      </c>
    </row>
    <row r="173" spans="1:5" ht="12.75">
      <c r="A173" s="85">
        <v>509</v>
      </c>
      <c r="B173" s="85">
        <v>0</v>
      </c>
      <c r="C173" s="6" t="s">
        <v>1351</v>
      </c>
      <c r="D173" s="6" t="s">
        <v>778</v>
      </c>
      <c r="E173" s="3" t="s">
        <v>1352</v>
      </c>
    </row>
    <row r="174" spans="1:5" ht="12.75">
      <c r="A174" s="85">
        <v>512</v>
      </c>
      <c r="B174" s="85">
        <v>0</v>
      </c>
      <c r="C174" s="6" t="s">
        <v>1351</v>
      </c>
      <c r="D174" s="6" t="s">
        <v>778</v>
      </c>
      <c r="E174" s="3" t="s">
        <v>1352</v>
      </c>
    </row>
    <row r="175" spans="1:5" ht="12.75">
      <c r="A175" s="85">
        <v>502</v>
      </c>
      <c r="B175" s="85">
        <v>0</v>
      </c>
      <c r="C175" s="6" t="s">
        <v>1351</v>
      </c>
      <c r="D175" s="6" t="s">
        <v>778</v>
      </c>
      <c r="E175" s="3" t="s">
        <v>1353</v>
      </c>
    </row>
    <row r="176" spans="1:5" ht="12.75">
      <c r="A176" s="85">
        <v>503</v>
      </c>
      <c r="B176" s="85">
        <v>0</v>
      </c>
      <c r="C176" s="6" t="s">
        <v>1351</v>
      </c>
      <c r="D176" s="6" t="s">
        <v>778</v>
      </c>
      <c r="E176" s="3" t="s">
        <v>1354</v>
      </c>
    </row>
    <row r="177" spans="1:5" ht="12.75">
      <c r="A177" s="85">
        <v>511</v>
      </c>
      <c r="B177" s="85">
        <v>0</v>
      </c>
      <c r="C177" s="6" t="s">
        <v>1351</v>
      </c>
      <c r="D177" s="6" t="s">
        <v>778</v>
      </c>
      <c r="E177" s="3" t="s">
        <v>865</v>
      </c>
    </row>
    <row r="178" spans="1:7" ht="12.75">
      <c r="A178" s="85">
        <v>409</v>
      </c>
      <c r="B178" s="85">
        <v>0</v>
      </c>
      <c r="C178" s="6" t="s">
        <v>1362</v>
      </c>
      <c r="D178" s="6" t="s">
        <v>778</v>
      </c>
      <c r="E178" s="3" t="s">
        <v>1187</v>
      </c>
      <c r="F178" s="133">
        <v>37255</v>
      </c>
      <c r="G178" s="3" t="s">
        <v>1091</v>
      </c>
    </row>
    <row r="179" spans="1:5" ht="12.75">
      <c r="A179" s="85">
        <v>411</v>
      </c>
      <c r="B179" s="85">
        <v>0</v>
      </c>
      <c r="C179" s="6" t="s">
        <v>1362</v>
      </c>
      <c r="D179" s="6" t="s">
        <v>778</v>
      </c>
      <c r="E179" s="3" t="s">
        <v>1352</v>
      </c>
    </row>
    <row r="180" spans="1:5" ht="12.75">
      <c r="A180" s="85">
        <v>441</v>
      </c>
      <c r="B180" s="85">
        <v>0</v>
      </c>
      <c r="C180" s="6" t="s">
        <v>1362</v>
      </c>
      <c r="D180" s="6" t="s">
        <v>778</v>
      </c>
      <c r="E180" s="3" t="s">
        <v>1352</v>
      </c>
    </row>
    <row r="181" spans="1:5" ht="12.75">
      <c r="A181" s="85">
        <v>411</v>
      </c>
      <c r="B181" s="85">
        <v>0</v>
      </c>
      <c r="C181" s="6" t="s">
        <v>1362</v>
      </c>
      <c r="D181" s="6" t="s">
        <v>778</v>
      </c>
      <c r="E181" s="3" t="s">
        <v>1352</v>
      </c>
    </row>
    <row r="182" spans="1:5" ht="12.75">
      <c r="A182" s="85">
        <v>441</v>
      </c>
      <c r="B182" s="85">
        <v>0</v>
      </c>
      <c r="C182" s="6" t="s">
        <v>1362</v>
      </c>
      <c r="D182" s="6" t="s">
        <v>778</v>
      </c>
      <c r="E182" s="3" t="s">
        <v>1352</v>
      </c>
    </row>
    <row r="183" spans="1:5" ht="12.75">
      <c r="A183" s="85">
        <v>411</v>
      </c>
      <c r="B183" s="85">
        <v>0</v>
      </c>
      <c r="C183" s="6" t="s">
        <v>1362</v>
      </c>
      <c r="D183" s="6" t="s">
        <v>778</v>
      </c>
      <c r="E183" s="3" t="s">
        <v>1352</v>
      </c>
    </row>
    <row r="184" spans="1:5" ht="12.75">
      <c r="A184" s="85">
        <v>441</v>
      </c>
      <c r="B184" s="85">
        <v>0</v>
      </c>
      <c r="C184" s="6" t="s">
        <v>1362</v>
      </c>
      <c r="D184" s="6" t="s">
        <v>778</v>
      </c>
      <c r="E184" s="3" t="s">
        <v>1352</v>
      </c>
    </row>
    <row r="185" spans="1:5" ht="12.75">
      <c r="A185" s="85">
        <v>402</v>
      </c>
      <c r="B185" s="85">
        <v>0</v>
      </c>
      <c r="C185" s="6" t="s">
        <v>1362</v>
      </c>
      <c r="D185" s="6" t="s">
        <v>778</v>
      </c>
      <c r="E185" s="3" t="s">
        <v>1363</v>
      </c>
    </row>
    <row r="186" spans="1:5" ht="12.75">
      <c r="A186" s="85">
        <v>352</v>
      </c>
      <c r="B186" s="85">
        <v>0</v>
      </c>
      <c r="C186" s="6" t="s">
        <v>1364</v>
      </c>
      <c r="D186" s="6" t="s">
        <v>778</v>
      </c>
      <c r="E186" s="3" t="s">
        <v>1365</v>
      </c>
    </row>
    <row r="187" spans="1:5" ht="12.75">
      <c r="A187" s="85">
        <v>298</v>
      </c>
      <c r="B187" s="85">
        <v>0</v>
      </c>
      <c r="C187" s="6" t="s">
        <v>1370</v>
      </c>
      <c r="D187" s="6" t="s">
        <v>778</v>
      </c>
      <c r="E187" s="3" t="s">
        <v>1371</v>
      </c>
    </row>
    <row r="188" spans="1:5" ht="12.75">
      <c r="A188" s="85">
        <v>611</v>
      </c>
      <c r="B188" s="85">
        <v>0</v>
      </c>
      <c r="C188" s="6" t="s">
        <v>894</v>
      </c>
      <c r="D188" s="6">
        <v>630</v>
      </c>
      <c r="E188" s="3" t="s">
        <v>895</v>
      </c>
    </row>
    <row r="189" spans="1:5" ht="12.75">
      <c r="A189" s="85">
        <v>620</v>
      </c>
      <c r="B189" s="85">
        <v>0</v>
      </c>
      <c r="C189" s="6" t="s">
        <v>894</v>
      </c>
      <c r="D189" s="6">
        <v>630</v>
      </c>
      <c r="E189" s="3" t="s">
        <v>896</v>
      </c>
    </row>
    <row r="190" spans="1:5" ht="12.75">
      <c r="A190" s="85">
        <v>623</v>
      </c>
      <c r="B190" s="85">
        <v>0</v>
      </c>
      <c r="C190" s="6" t="s">
        <v>894</v>
      </c>
      <c r="D190" s="6">
        <v>630</v>
      </c>
      <c r="E190" s="3" t="s">
        <v>897</v>
      </c>
    </row>
    <row r="191" spans="1:5" ht="12.75">
      <c r="A191" s="85">
        <v>622</v>
      </c>
      <c r="B191" s="85">
        <v>0</v>
      </c>
      <c r="C191" s="6" t="s">
        <v>894</v>
      </c>
      <c r="D191" s="6">
        <v>630</v>
      </c>
      <c r="E191" s="3" t="s">
        <v>1171</v>
      </c>
    </row>
    <row r="192" spans="1:5" ht="12.75">
      <c r="A192" s="85">
        <v>618</v>
      </c>
      <c r="B192" s="85">
        <v>0</v>
      </c>
      <c r="C192" s="6" t="s">
        <v>894</v>
      </c>
      <c r="D192" s="6">
        <v>630</v>
      </c>
      <c r="E192" s="3" t="s">
        <v>1163</v>
      </c>
    </row>
    <row r="193" spans="1:5" ht="12.75">
      <c r="A193" s="85">
        <v>617</v>
      </c>
      <c r="B193" s="85">
        <v>0</v>
      </c>
      <c r="C193" s="6" t="s">
        <v>894</v>
      </c>
      <c r="D193" s="6">
        <v>630</v>
      </c>
      <c r="E193" s="3" t="s">
        <v>898</v>
      </c>
    </row>
    <row r="194" spans="1:5" ht="12.75">
      <c r="A194" s="85">
        <v>610</v>
      </c>
      <c r="B194" s="85">
        <v>0</v>
      </c>
      <c r="C194" s="6" t="s">
        <v>894</v>
      </c>
      <c r="D194" s="6">
        <v>630</v>
      </c>
      <c r="E194" s="3" t="s">
        <v>678</v>
      </c>
    </row>
    <row r="195" spans="1:7" ht="12.75">
      <c r="A195" s="85">
        <v>616.4</v>
      </c>
      <c r="B195" s="85">
        <v>0</v>
      </c>
      <c r="C195" s="6" t="s">
        <v>894</v>
      </c>
      <c r="D195" s="6">
        <v>630</v>
      </c>
      <c r="E195" s="3" t="s">
        <v>1194</v>
      </c>
      <c r="F195" s="133">
        <v>37255</v>
      </c>
      <c r="G195" s="3" t="s">
        <v>1091</v>
      </c>
    </row>
    <row r="196" spans="1:5" ht="12.75">
      <c r="A196" s="85">
        <v>622</v>
      </c>
      <c r="B196" s="85">
        <v>0</v>
      </c>
      <c r="C196" s="6" t="s">
        <v>894</v>
      </c>
      <c r="D196" s="6">
        <v>630</v>
      </c>
      <c r="E196" s="3" t="s">
        <v>1170</v>
      </c>
    </row>
    <row r="197" spans="1:5" ht="12.75">
      <c r="A197" s="85">
        <v>618</v>
      </c>
      <c r="B197" s="85">
        <v>0</v>
      </c>
      <c r="C197" s="6" t="s">
        <v>894</v>
      </c>
      <c r="D197" s="6">
        <v>630</v>
      </c>
      <c r="E197" s="3" t="s">
        <v>1167</v>
      </c>
    </row>
    <row r="198" spans="1:5" ht="12.75">
      <c r="A198" s="85">
        <v>621</v>
      </c>
      <c r="B198" s="85">
        <v>0</v>
      </c>
      <c r="C198" s="6" t="s">
        <v>894</v>
      </c>
      <c r="D198" s="6">
        <v>630</v>
      </c>
      <c r="E198" s="3" t="s">
        <v>899</v>
      </c>
    </row>
    <row r="199" spans="1:7" ht="12.75">
      <c r="A199" s="85">
        <v>616.4</v>
      </c>
      <c r="B199" s="85">
        <v>0</v>
      </c>
      <c r="C199" s="6" t="s">
        <v>894</v>
      </c>
      <c r="D199" s="6">
        <v>630</v>
      </c>
      <c r="E199" s="3" t="s">
        <v>1193</v>
      </c>
      <c r="F199" s="133">
        <v>37255</v>
      </c>
      <c r="G199" s="3" t="s">
        <v>1091</v>
      </c>
    </row>
    <row r="200" spans="1:7" ht="12.75">
      <c r="A200" s="85">
        <v>618.4</v>
      </c>
      <c r="B200" s="85">
        <v>0</v>
      </c>
      <c r="C200" s="6" t="s">
        <v>894</v>
      </c>
      <c r="D200" s="6">
        <v>630</v>
      </c>
      <c r="E200" s="3" t="s">
        <v>1195</v>
      </c>
      <c r="F200" s="133">
        <v>37255</v>
      </c>
      <c r="G200" s="3" t="s">
        <v>1091</v>
      </c>
    </row>
    <row r="201" spans="1:7" ht="12.75">
      <c r="A201" s="85">
        <v>623</v>
      </c>
      <c r="B201" s="85">
        <v>0</v>
      </c>
      <c r="C201" s="6" t="s">
        <v>894</v>
      </c>
      <c r="D201" s="6">
        <v>630</v>
      </c>
      <c r="E201" s="3" t="s">
        <v>624</v>
      </c>
      <c r="F201" s="133">
        <v>39124</v>
      </c>
      <c r="G201" s="3" t="s">
        <v>623</v>
      </c>
    </row>
    <row r="202" spans="1:5" ht="12.75">
      <c r="A202" s="85">
        <v>609</v>
      </c>
      <c r="B202" s="85">
        <v>0</v>
      </c>
      <c r="C202" s="6" t="s">
        <v>894</v>
      </c>
      <c r="D202" s="6">
        <v>630</v>
      </c>
      <c r="E202" s="3" t="s">
        <v>900</v>
      </c>
    </row>
    <row r="203" spans="1:5" ht="12.75">
      <c r="A203" s="85">
        <v>603</v>
      </c>
      <c r="B203" s="85">
        <v>0</v>
      </c>
      <c r="C203" s="6" t="s">
        <v>894</v>
      </c>
      <c r="D203" s="6">
        <v>630</v>
      </c>
      <c r="E203" s="3" t="s">
        <v>689</v>
      </c>
    </row>
    <row r="204" spans="1:5" ht="12.75">
      <c r="A204" s="85">
        <f>610*630/622</f>
        <v>617.8456591639872</v>
      </c>
      <c r="B204" s="85">
        <v>0</v>
      </c>
      <c r="C204" s="6" t="s">
        <v>894</v>
      </c>
      <c r="D204" s="6">
        <v>630</v>
      </c>
      <c r="E204" s="3" t="s">
        <v>901</v>
      </c>
    </row>
    <row r="205" spans="1:5" ht="12.75">
      <c r="A205" s="85">
        <v>605</v>
      </c>
      <c r="B205" s="85">
        <v>0</v>
      </c>
      <c r="C205" s="6" t="s">
        <v>894</v>
      </c>
      <c r="D205" s="6">
        <v>630</v>
      </c>
      <c r="E205" s="3" t="s">
        <v>708</v>
      </c>
    </row>
    <row r="206" spans="1:5" ht="12.75">
      <c r="A206" s="85">
        <v>609</v>
      </c>
      <c r="B206" s="85">
        <v>0</v>
      </c>
      <c r="C206" s="6" t="s">
        <v>894</v>
      </c>
      <c r="D206" s="6">
        <v>630</v>
      </c>
      <c r="E206" s="3" t="s">
        <v>709</v>
      </c>
    </row>
    <row r="207" spans="1:5" ht="12.75">
      <c r="A207" s="85">
        <v>618</v>
      </c>
      <c r="B207" s="85">
        <v>0</v>
      </c>
      <c r="C207" s="6" t="s">
        <v>894</v>
      </c>
      <c r="D207" s="6">
        <v>630</v>
      </c>
      <c r="E207" s="3" t="s">
        <v>902</v>
      </c>
    </row>
    <row r="208" spans="1:5" ht="12.75">
      <c r="A208" s="85">
        <v>622</v>
      </c>
      <c r="B208" s="85">
        <v>0</v>
      </c>
      <c r="C208" s="6" t="s">
        <v>894</v>
      </c>
      <c r="D208" s="6">
        <v>630</v>
      </c>
      <c r="E208" s="3" t="s">
        <v>710</v>
      </c>
    </row>
    <row r="209" spans="1:5" ht="12.75">
      <c r="A209" s="85">
        <v>620</v>
      </c>
      <c r="B209" s="85">
        <v>0</v>
      </c>
      <c r="C209" s="6" t="s">
        <v>894</v>
      </c>
      <c r="D209" s="6">
        <v>630</v>
      </c>
      <c r="E209" s="3" t="s">
        <v>903</v>
      </c>
    </row>
    <row r="210" spans="1:5" ht="12.75">
      <c r="A210" s="85">
        <v>618</v>
      </c>
      <c r="B210" s="85">
        <v>0</v>
      </c>
      <c r="C210" s="6" t="s">
        <v>894</v>
      </c>
      <c r="D210" s="6">
        <v>630</v>
      </c>
      <c r="E210" s="3" t="s">
        <v>1233</v>
      </c>
    </row>
    <row r="211" spans="1:5" ht="12.75">
      <c r="A211" s="85">
        <v>618</v>
      </c>
      <c r="B211" s="85">
        <v>0</v>
      </c>
      <c r="C211" s="6" t="s">
        <v>894</v>
      </c>
      <c r="D211" s="6">
        <v>630</v>
      </c>
      <c r="E211" s="3" t="s">
        <v>1234</v>
      </c>
    </row>
    <row r="212" spans="1:5" ht="12.75">
      <c r="A212" s="85">
        <v>618</v>
      </c>
      <c r="B212" s="85">
        <v>0</v>
      </c>
      <c r="C212" s="6" t="s">
        <v>894</v>
      </c>
      <c r="D212" s="6">
        <v>630</v>
      </c>
      <c r="E212" s="3" t="s">
        <v>988</v>
      </c>
    </row>
    <row r="213" spans="1:5" ht="12.75">
      <c r="A213" s="85">
        <v>618</v>
      </c>
      <c r="B213" s="85">
        <v>0</v>
      </c>
      <c r="C213" s="6" t="s">
        <v>894</v>
      </c>
      <c r="D213" s="6">
        <v>630</v>
      </c>
      <c r="E213" s="3" t="s">
        <v>718</v>
      </c>
    </row>
    <row r="214" spans="1:5" ht="12.75">
      <c r="A214" s="85">
        <v>618</v>
      </c>
      <c r="B214" s="85">
        <v>0</v>
      </c>
      <c r="C214" s="6" t="s">
        <v>894</v>
      </c>
      <c r="D214" s="6">
        <v>630</v>
      </c>
      <c r="E214" s="3" t="s">
        <v>720</v>
      </c>
    </row>
    <row r="215" spans="1:5" ht="12.75">
      <c r="A215" s="85">
        <v>618</v>
      </c>
      <c r="B215" s="85">
        <v>0</v>
      </c>
      <c r="C215" s="6" t="s">
        <v>894</v>
      </c>
      <c r="D215" s="6">
        <v>630</v>
      </c>
      <c r="E215" s="3" t="s">
        <v>904</v>
      </c>
    </row>
    <row r="216" spans="1:5" ht="12.75">
      <c r="A216" s="85">
        <v>617</v>
      </c>
      <c r="B216" s="85">
        <v>0</v>
      </c>
      <c r="C216" s="6" t="s">
        <v>894</v>
      </c>
      <c r="D216" s="6">
        <v>630</v>
      </c>
      <c r="E216" s="3" t="s">
        <v>729</v>
      </c>
    </row>
    <row r="217" spans="1:7" ht="12.75">
      <c r="A217" s="85">
        <f>618.2+3</f>
        <v>621.2</v>
      </c>
      <c r="B217" s="85">
        <v>0</v>
      </c>
      <c r="C217" s="6" t="s">
        <v>894</v>
      </c>
      <c r="D217" s="6">
        <v>630</v>
      </c>
      <c r="E217" s="3" t="s">
        <v>1617</v>
      </c>
      <c r="F217" s="133">
        <v>37254</v>
      </c>
      <c r="G217" s="3" t="s">
        <v>157</v>
      </c>
    </row>
    <row r="218" spans="1:5" ht="12.75">
      <c r="A218" s="85">
        <v>621</v>
      </c>
      <c r="B218" s="85">
        <v>0</v>
      </c>
      <c r="C218" s="6" t="s">
        <v>894</v>
      </c>
      <c r="D218" s="6">
        <v>630</v>
      </c>
      <c r="E218" s="3" t="s">
        <v>905</v>
      </c>
    </row>
    <row r="219" spans="1:5" ht="12.75">
      <c r="A219" s="85">
        <v>622</v>
      </c>
      <c r="B219" s="85">
        <v>0</v>
      </c>
      <c r="C219" s="6" t="s">
        <v>894</v>
      </c>
      <c r="D219" s="6">
        <v>630</v>
      </c>
      <c r="E219" s="3" t="s">
        <v>1236</v>
      </c>
    </row>
    <row r="220" spans="1:5" ht="12.75">
      <c r="A220" s="85">
        <v>622</v>
      </c>
      <c r="B220" s="85">
        <v>0</v>
      </c>
      <c r="C220" s="6" t="s">
        <v>894</v>
      </c>
      <c r="D220" s="6">
        <v>630</v>
      </c>
      <c r="E220" s="3" t="s">
        <v>1238</v>
      </c>
    </row>
    <row r="221" spans="1:5" ht="12.75">
      <c r="A221" s="85">
        <v>622</v>
      </c>
      <c r="B221" s="85">
        <v>0</v>
      </c>
      <c r="C221" s="6" t="s">
        <v>894</v>
      </c>
      <c r="D221" s="6">
        <v>630</v>
      </c>
      <c r="E221" s="3" t="s">
        <v>1235</v>
      </c>
    </row>
    <row r="222" spans="1:5" ht="12.75">
      <c r="A222" s="85">
        <v>619</v>
      </c>
      <c r="B222" s="85">
        <v>0</v>
      </c>
      <c r="C222" s="6" t="s">
        <v>894</v>
      </c>
      <c r="D222" s="6">
        <v>630</v>
      </c>
      <c r="E222" s="3" t="s">
        <v>906</v>
      </c>
    </row>
    <row r="223" spans="1:5" ht="12.75">
      <c r="A223" s="85">
        <v>615</v>
      </c>
      <c r="B223" s="85">
        <v>0</v>
      </c>
      <c r="C223" s="6" t="s">
        <v>894</v>
      </c>
      <c r="D223" s="6">
        <v>630</v>
      </c>
      <c r="E223" s="3" t="s">
        <v>740</v>
      </c>
    </row>
    <row r="224" spans="1:5" ht="12.75">
      <c r="A224" s="85">
        <v>617</v>
      </c>
      <c r="B224" s="85">
        <v>0</v>
      </c>
      <c r="C224" s="6" t="s">
        <v>894</v>
      </c>
      <c r="D224" s="6">
        <v>630</v>
      </c>
      <c r="E224" s="3" t="s">
        <v>1017</v>
      </c>
    </row>
    <row r="225" spans="1:5" ht="12.75">
      <c r="A225" s="85">
        <v>617</v>
      </c>
      <c r="B225" s="85">
        <v>0</v>
      </c>
      <c r="C225" s="6" t="s">
        <v>894</v>
      </c>
      <c r="D225" s="6">
        <v>630</v>
      </c>
      <c r="E225" s="3" t="s">
        <v>1019</v>
      </c>
    </row>
    <row r="226" spans="1:5" ht="12.75">
      <c r="A226" s="85">
        <v>619</v>
      </c>
      <c r="B226" s="85">
        <v>0</v>
      </c>
      <c r="C226" s="6" t="s">
        <v>894</v>
      </c>
      <c r="D226" s="6">
        <v>630</v>
      </c>
      <c r="E226" t="s">
        <v>907</v>
      </c>
    </row>
    <row r="227" spans="1:5" ht="12.75">
      <c r="A227" s="85">
        <v>618</v>
      </c>
      <c r="B227" s="85">
        <v>0</v>
      </c>
      <c r="C227" s="6" t="s">
        <v>894</v>
      </c>
      <c r="D227" s="6">
        <v>630</v>
      </c>
      <c r="E227" s="3" t="s">
        <v>744</v>
      </c>
    </row>
    <row r="228" spans="1:5" ht="12.75">
      <c r="A228" s="85">
        <v>620</v>
      </c>
      <c r="B228" s="85">
        <v>0</v>
      </c>
      <c r="C228" s="6" t="s">
        <v>894</v>
      </c>
      <c r="D228" s="6">
        <v>630</v>
      </c>
      <c r="E228" s="3" t="s">
        <v>908</v>
      </c>
    </row>
    <row r="229" spans="1:5" ht="12.75">
      <c r="A229" s="85">
        <v>618</v>
      </c>
      <c r="B229" s="85">
        <v>0</v>
      </c>
      <c r="C229" s="6" t="s">
        <v>894</v>
      </c>
      <c r="D229" s="6">
        <v>630</v>
      </c>
      <c r="E229" s="3" t="s">
        <v>749</v>
      </c>
    </row>
    <row r="230" spans="1:5" ht="12.75">
      <c r="A230" s="85">
        <v>619</v>
      </c>
      <c r="B230" s="85">
        <v>0</v>
      </c>
      <c r="C230" s="6" t="s">
        <v>894</v>
      </c>
      <c r="D230" s="6">
        <v>630</v>
      </c>
      <c r="E230" s="3" t="s">
        <v>750</v>
      </c>
    </row>
    <row r="231" spans="1:5" ht="12.75">
      <c r="A231" s="85">
        <v>618</v>
      </c>
      <c r="B231" s="85">
        <v>0</v>
      </c>
      <c r="C231" s="6" t="s">
        <v>894</v>
      </c>
      <c r="D231" s="6">
        <v>630</v>
      </c>
      <c r="E231" s="3" t="s">
        <v>751</v>
      </c>
    </row>
    <row r="232" spans="1:5" ht="12.75">
      <c r="A232" s="85">
        <v>611</v>
      </c>
      <c r="B232" s="85">
        <v>0</v>
      </c>
      <c r="C232" s="6" t="s">
        <v>894</v>
      </c>
      <c r="D232" s="6">
        <v>630</v>
      </c>
      <c r="E232" s="3" t="s">
        <v>752</v>
      </c>
    </row>
    <row r="233" spans="1:5" ht="12.75">
      <c r="A233" s="85">
        <v>614</v>
      </c>
      <c r="B233" s="85">
        <v>0</v>
      </c>
      <c r="C233" s="6" t="s">
        <v>894</v>
      </c>
      <c r="D233" s="6">
        <v>630</v>
      </c>
      <c r="E233" s="3" t="s">
        <v>753</v>
      </c>
    </row>
    <row r="234" spans="1:5" ht="12.75">
      <c r="A234" s="85">
        <v>620</v>
      </c>
      <c r="B234" s="85">
        <v>0</v>
      </c>
      <c r="C234" s="6" t="s">
        <v>894</v>
      </c>
      <c r="D234" s="6">
        <v>630</v>
      </c>
      <c r="E234" s="3" t="s">
        <v>754</v>
      </c>
    </row>
    <row r="235" spans="1:5" ht="12.75">
      <c r="A235" s="85">
        <v>620</v>
      </c>
      <c r="B235" s="85">
        <v>0</v>
      </c>
      <c r="C235" s="6" t="s">
        <v>894</v>
      </c>
      <c r="D235" s="6">
        <v>630</v>
      </c>
      <c r="E235" s="3" t="s">
        <v>755</v>
      </c>
    </row>
    <row r="236" spans="1:5" ht="12.75">
      <c r="A236" s="85">
        <v>619</v>
      </c>
      <c r="B236" s="85">
        <v>0</v>
      </c>
      <c r="C236" s="6" t="s">
        <v>894</v>
      </c>
      <c r="D236" s="6">
        <v>630</v>
      </c>
      <c r="E236" t="s">
        <v>909</v>
      </c>
    </row>
    <row r="237" spans="1:5" ht="12.75">
      <c r="A237" s="85">
        <v>619</v>
      </c>
      <c r="B237" s="85">
        <v>0</v>
      </c>
      <c r="C237" s="6" t="s">
        <v>894</v>
      </c>
      <c r="D237" s="6">
        <v>630</v>
      </c>
      <c r="E237" s="3" t="s">
        <v>757</v>
      </c>
    </row>
    <row r="238" spans="1:5" ht="12.75">
      <c r="A238" s="85">
        <v>623</v>
      </c>
      <c r="B238" s="85">
        <v>0</v>
      </c>
      <c r="C238" s="6" t="s">
        <v>894</v>
      </c>
      <c r="D238" s="6">
        <v>630</v>
      </c>
      <c r="E238" s="3" t="s">
        <v>910</v>
      </c>
    </row>
    <row r="239" spans="1:5" ht="12.75">
      <c r="A239" s="85">
        <v>619</v>
      </c>
      <c r="B239" s="85">
        <v>0</v>
      </c>
      <c r="C239" s="6" t="s">
        <v>894</v>
      </c>
      <c r="D239" s="6">
        <v>630</v>
      </c>
      <c r="E239" s="3" t="s">
        <v>911</v>
      </c>
    </row>
    <row r="240" spans="1:5" ht="12.75">
      <c r="A240" s="85">
        <v>621</v>
      </c>
      <c r="B240" s="85">
        <v>0</v>
      </c>
      <c r="C240" s="6" t="s">
        <v>894</v>
      </c>
      <c r="D240" s="6">
        <v>630</v>
      </c>
      <c r="E240" s="3" t="s">
        <v>912</v>
      </c>
    </row>
    <row r="241" spans="1:5" ht="12.75">
      <c r="A241" s="85">
        <v>624</v>
      </c>
      <c r="B241" s="85">
        <v>0</v>
      </c>
      <c r="C241" s="6" t="s">
        <v>894</v>
      </c>
      <c r="D241" s="6">
        <v>630</v>
      </c>
      <c r="E241" s="3" t="s">
        <v>771</v>
      </c>
    </row>
    <row r="242" spans="1:5" ht="12.75">
      <c r="A242" s="85">
        <v>620</v>
      </c>
      <c r="B242" s="85">
        <v>0</v>
      </c>
      <c r="C242" s="6" t="s">
        <v>894</v>
      </c>
      <c r="D242" s="6">
        <v>630</v>
      </c>
      <c r="E242" s="3" t="s">
        <v>913</v>
      </c>
    </row>
    <row r="243" spans="1:5" ht="12.75">
      <c r="A243" s="85">
        <v>620</v>
      </c>
      <c r="B243" s="85">
        <v>0</v>
      </c>
      <c r="C243" s="6" t="s">
        <v>894</v>
      </c>
      <c r="D243" s="6">
        <v>630</v>
      </c>
      <c r="E243" s="3" t="s">
        <v>774</v>
      </c>
    </row>
    <row r="244" spans="1:5" ht="12.75">
      <c r="A244" s="85">
        <v>622</v>
      </c>
      <c r="B244" s="85">
        <v>0</v>
      </c>
      <c r="C244" s="6" t="s">
        <v>894</v>
      </c>
      <c r="D244" s="6">
        <v>630</v>
      </c>
      <c r="E244" s="3" t="s">
        <v>1239</v>
      </c>
    </row>
    <row r="245" spans="1:5" ht="12.75">
      <c r="A245" s="85">
        <v>622</v>
      </c>
      <c r="B245" s="85">
        <v>0</v>
      </c>
      <c r="C245" s="6" t="s">
        <v>894</v>
      </c>
      <c r="D245" s="6">
        <v>630</v>
      </c>
      <c r="E245" s="3" t="s">
        <v>1240</v>
      </c>
    </row>
    <row r="246" spans="1:5" ht="12.75">
      <c r="A246" s="85">
        <v>622</v>
      </c>
      <c r="B246" s="85">
        <v>0</v>
      </c>
      <c r="C246" s="6" t="s">
        <v>894</v>
      </c>
      <c r="D246" s="6">
        <v>630</v>
      </c>
      <c r="E246" s="3" t="s">
        <v>1241</v>
      </c>
    </row>
    <row r="247" spans="1:5" ht="12.75">
      <c r="A247" s="85">
        <v>622</v>
      </c>
      <c r="B247" s="85">
        <v>0</v>
      </c>
      <c r="C247" s="6" t="s">
        <v>894</v>
      </c>
      <c r="D247" s="6">
        <v>630</v>
      </c>
      <c r="E247" s="3" t="s">
        <v>1242</v>
      </c>
    </row>
    <row r="248" spans="1:5" ht="12.75">
      <c r="A248" s="85">
        <v>622</v>
      </c>
      <c r="B248" s="85">
        <v>0</v>
      </c>
      <c r="C248" s="6" t="s">
        <v>894</v>
      </c>
      <c r="D248" s="6">
        <v>630</v>
      </c>
      <c r="E248" s="3" t="s">
        <v>775</v>
      </c>
    </row>
    <row r="249" spans="1:7" ht="12.75">
      <c r="A249" s="85">
        <v>600</v>
      </c>
      <c r="B249" s="85">
        <v>0</v>
      </c>
      <c r="C249" s="6" t="s">
        <v>667</v>
      </c>
      <c r="D249" s="6">
        <v>622</v>
      </c>
      <c r="E249" s="3" t="s">
        <v>83</v>
      </c>
      <c r="F249" s="133">
        <v>38349</v>
      </c>
      <c r="G249" s="3" t="s">
        <v>82</v>
      </c>
    </row>
    <row r="250" spans="1:7" ht="12.75">
      <c r="A250" s="85">
        <v>600</v>
      </c>
      <c r="B250" s="85">
        <v>0</v>
      </c>
      <c r="C250" s="6" t="s">
        <v>667</v>
      </c>
      <c r="D250" s="6">
        <v>622</v>
      </c>
      <c r="E250" s="3" t="s">
        <v>184</v>
      </c>
      <c r="F250" s="133">
        <v>38008</v>
      </c>
      <c r="G250" s="3" t="s">
        <v>185</v>
      </c>
    </row>
    <row r="251" spans="1:7" ht="12.75">
      <c r="A251" s="85">
        <v>606</v>
      </c>
      <c r="B251" s="85">
        <v>0</v>
      </c>
      <c r="C251" s="6" t="s">
        <v>667</v>
      </c>
      <c r="D251" s="6">
        <v>622</v>
      </c>
      <c r="E251" s="3" t="s">
        <v>186</v>
      </c>
      <c r="F251" s="133">
        <v>38012</v>
      </c>
      <c r="G251" s="3" t="s">
        <v>187</v>
      </c>
    </row>
    <row r="252" spans="1:7" ht="12.75">
      <c r="A252" s="85">
        <f>580.8+3</f>
        <v>583.8</v>
      </c>
      <c r="B252" s="85">
        <v>0</v>
      </c>
      <c r="C252" s="6" t="s">
        <v>667</v>
      </c>
      <c r="D252" s="6">
        <v>622</v>
      </c>
      <c r="E252" s="3" t="s">
        <v>46</v>
      </c>
      <c r="F252" s="133">
        <v>37879</v>
      </c>
      <c r="G252" s="3" t="s">
        <v>158</v>
      </c>
    </row>
    <row r="253" spans="1:7" ht="12.75">
      <c r="A253" s="85">
        <v>601</v>
      </c>
      <c r="B253" s="85">
        <v>0</v>
      </c>
      <c r="C253" s="6" t="s">
        <v>667</v>
      </c>
      <c r="D253" s="6">
        <v>622</v>
      </c>
      <c r="E253" s="3" t="s">
        <v>695</v>
      </c>
      <c r="F253" s="133">
        <v>37729</v>
      </c>
      <c r="G253" s="3" t="s">
        <v>696</v>
      </c>
    </row>
    <row r="254" spans="1:7" ht="12.75">
      <c r="A254" s="85">
        <v>603</v>
      </c>
      <c r="B254" s="85">
        <v>0</v>
      </c>
      <c r="C254" s="6" t="s">
        <v>667</v>
      </c>
      <c r="D254" s="6">
        <v>622</v>
      </c>
      <c r="E254" s="3" t="s">
        <v>188</v>
      </c>
      <c r="F254" s="133">
        <v>37729</v>
      </c>
      <c r="G254" s="3" t="s">
        <v>189</v>
      </c>
    </row>
    <row r="255" spans="1:5" ht="12.75">
      <c r="A255" s="85">
        <v>605</v>
      </c>
      <c r="B255" s="85">
        <v>0</v>
      </c>
      <c r="C255" s="6" t="s">
        <v>667</v>
      </c>
      <c r="D255" s="6">
        <v>622</v>
      </c>
      <c r="E255" s="3" t="s">
        <v>669</v>
      </c>
    </row>
    <row r="256" spans="1:7" ht="12.75">
      <c r="A256" s="85">
        <v>601</v>
      </c>
      <c r="B256" s="85">
        <v>0</v>
      </c>
      <c r="C256" s="6" t="s">
        <v>667</v>
      </c>
      <c r="D256" s="6">
        <v>622</v>
      </c>
      <c r="E256" s="3" t="s">
        <v>1303</v>
      </c>
      <c r="F256" s="137">
        <v>39041</v>
      </c>
      <c r="G256" s="3" t="s">
        <v>1289</v>
      </c>
    </row>
    <row r="257" spans="1:7" ht="12.75">
      <c r="A257" s="85">
        <v>607</v>
      </c>
      <c r="B257" s="85">
        <v>0</v>
      </c>
      <c r="C257" s="6" t="s">
        <v>667</v>
      </c>
      <c r="D257" s="6">
        <v>622</v>
      </c>
      <c r="E257" s="3" t="s">
        <v>1304</v>
      </c>
      <c r="F257" s="137">
        <v>39041</v>
      </c>
      <c r="G257" s="3" t="s">
        <v>1289</v>
      </c>
    </row>
    <row r="258" spans="1:7" ht="12.75">
      <c r="A258" s="85">
        <v>601</v>
      </c>
      <c r="B258" s="85">
        <v>0</v>
      </c>
      <c r="C258" s="6" t="s">
        <v>667</v>
      </c>
      <c r="D258" s="6">
        <v>622</v>
      </c>
      <c r="E258" s="3" t="s">
        <v>1293</v>
      </c>
      <c r="F258" s="133">
        <v>38239</v>
      </c>
      <c r="G258" s="3" t="s">
        <v>190</v>
      </c>
    </row>
    <row r="259" spans="1:7" ht="12.75">
      <c r="A259" s="85">
        <v>594</v>
      </c>
      <c r="B259" s="85">
        <v>0</v>
      </c>
      <c r="C259" s="6" t="s">
        <v>667</v>
      </c>
      <c r="D259" s="6">
        <v>622</v>
      </c>
      <c r="E259" s="3" t="s">
        <v>1293</v>
      </c>
      <c r="F259" s="137">
        <v>39041</v>
      </c>
      <c r="G259" s="3" t="s">
        <v>1289</v>
      </c>
    </row>
    <row r="260" spans="1:7" ht="12.75">
      <c r="A260" s="85">
        <v>602.5</v>
      </c>
      <c r="B260" s="85">
        <v>0</v>
      </c>
      <c r="C260" s="6" t="s">
        <v>667</v>
      </c>
      <c r="D260" s="6">
        <v>622</v>
      </c>
      <c r="E260" s="3" t="s">
        <v>1305</v>
      </c>
      <c r="F260" s="137">
        <v>39041</v>
      </c>
      <c r="G260" s="3" t="s">
        <v>1289</v>
      </c>
    </row>
    <row r="261" spans="1:7" s="2" customFormat="1" ht="12.75">
      <c r="A261" s="85">
        <v>588</v>
      </c>
      <c r="B261" s="85">
        <v>0</v>
      </c>
      <c r="C261" s="6" t="s">
        <v>667</v>
      </c>
      <c r="D261" s="6">
        <v>622</v>
      </c>
      <c r="E261" s="3" t="s">
        <v>1301</v>
      </c>
      <c r="F261" s="137">
        <v>39041</v>
      </c>
      <c r="G261" s="3" t="s">
        <v>1289</v>
      </c>
    </row>
    <row r="262" spans="1:5" ht="12.75">
      <c r="A262" s="85">
        <v>614</v>
      </c>
      <c r="B262" s="85">
        <v>0</v>
      </c>
      <c r="C262" s="6" t="s">
        <v>667</v>
      </c>
      <c r="D262" s="6">
        <v>622</v>
      </c>
      <c r="E262" s="3" t="s">
        <v>670</v>
      </c>
    </row>
    <row r="263" spans="1:5" ht="12.75">
      <c r="A263" s="85">
        <v>613</v>
      </c>
      <c r="B263" s="85">
        <v>0</v>
      </c>
      <c r="C263" s="6" t="s">
        <v>667</v>
      </c>
      <c r="D263" s="6">
        <v>622</v>
      </c>
      <c r="E263" s="3" t="s">
        <v>672</v>
      </c>
    </row>
    <row r="264" spans="1:5" ht="12.75">
      <c r="A264" s="85">
        <v>608</v>
      </c>
      <c r="B264" s="85">
        <v>0</v>
      </c>
      <c r="C264" s="6" t="s">
        <v>667</v>
      </c>
      <c r="D264" s="6">
        <v>622</v>
      </c>
      <c r="E264" s="3" t="s">
        <v>673</v>
      </c>
    </row>
    <row r="265" spans="1:7" ht="12.75">
      <c r="A265" s="85">
        <v>606</v>
      </c>
      <c r="B265" s="85">
        <v>0</v>
      </c>
      <c r="C265" s="6" t="s">
        <v>667</v>
      </c>
      <c r="D265" s="6">
        <v>622</v>
      </c>
      <c r="E265" s="3" t="s">
        <v>1306</v>
      </c>
      <c r="F265" s="137">
        <v>39041</v>
      </c>
      <c r="G265" s="3" t="s">
        <v>1289</v>
      </c>
    </row>
    <row r="266" spans="1:7" ht="12.75">
      <c r="A266" s="85">
        <v>606</v>
      </c>
      <c r="B266" s="85">
        <v>0</v>
      </c>
      <c r="C266" s="6" t="s">
        <v>667</v>
      </c>
      <c r="D266" s="6">
        <v>622</v>
      </c>
      <c r="E266" s="3" t="s">
        <v>847</v>
      </c>
      <c r="F266" s="137">
        <v>38661</v>
      </c>
      <c r="G266" s="95" t="s">
        <v>848</v>
      </c>
    </row>
    <row r="267" spans="1:5" ht="12.75">
      <c r="A267" s="85">
        <v>606</v>
      </c>
      <c r="B267" s="85">
        <v>0</v>
      </c>
      <c r="C267" s="6" t="s">
        <v>667</v>
      </c>
      <c r="D267" s="6">
        <v>622</v>
      </c>
      <c r="E267" s="3" t="s">
        <v>1291</v>
      </c>
    </row>
    <row r="268" spans="1:7" ht="12.75">
      <c r="A268" s="85">
        <v>601.5</v>
      </c>
      <c r="B268" s="85">
        <v>0</v>
      </c>
      <c r="C268" s="6" t="s">
        <v>667</v>
      </c>
      <c r="D268" s="6">
        <v>622</v>
      </c>
      <c r="E268" s="3" t="s">
        <v>1291</v>
      </c>
      <c r="F268" s="137">
        <v>39041</v>
      </c>
      <c r="G268" s="3" t="s">
        <v>1289</v>
      </c>
    </row>
    <row r="269" spans="1:7" ht="12.75">
      <c r="A269" s="85">
        <v>600</v>
      </c>
      <c r="B269" s="85">
        <v>0</v>
      </c>
      <c r="C269" s="6" t="s">
        <v>667</v>
      </c>
      <c r="D269" s="6">
        <v>622</v>
      </c>
      <c r="E269" s="3" t="s">
        <v>1290</v>
      </c>
      <c r="F269" s="137">
        <v>39041</v>
      </c>
      <c r="G269" s="3" t="s">
        <v>1289</v>
      </c>
    </row>
    <row r="270" spans="1:7" ht="12.75">
      <c r="A270" s="85">
        <v>600.5</v>
      </c>
      <c r="B270" s="85">
        <v>0</v>
      </c>
      <c r="C270" s="6" t="s">
        <v>667</v>
      </c>
      <c r="D270" s="6">
        <v>622</v>
      </c>
      <c r="E270" s="3" t="s">
        <v>1294</v>
      </c>
      <c r="F270" s="137">
        <v>39041</v>
      </c>
      <c r="G270" s="3" t="s">
        <v>1289</v>
      </c>
    </row>
    <row r="271" spans="1:7" ht="12.75">
      <c r="A271" s="85">
        <v>590</v>
      </c>
      <c r="B271" s="85">
        <v>0</v>
      </c>
      <c r="C271" s="6" t="s">
        <v>667</v>
      </c>
      <c r="D271" s="6">
        <v>622</v>
      </c>
      <c r="E271" s="3" t="s">
        <v>1288</v>
      </c>
      <c r="F271" s="137">
        <v>39041</v>
      </c>
      <c r="G271" s="3" t="s">
        <v>1289</v>
      </c>
    </row>
    <row r="272" spans="1:7" ht="12.75">
      <c r="A272" s="85">
        <v>598</v>
      </c>
      <c r="B272" s="85">
        <v>0</v>
      </c>
      <c r="C272" s="6" t="s">
        <v>667</v>
      </c>
      <c r="D272" s="6">
        <v>622</v>
      </c>
      <c r="E272" s="3" t="s">
        <v>1307</v>
      </c>
      <c r="F272" s="137">
        <v>39041</v>
      </c>
      <c r="G272" s="3" t="s">
        <v>1289</v>
      </c>
    </row>
    <row r="273" spans="1:7" ht="12.75">
      <c r="A273" s="85">
        <v>608.4</v>
      </c>
      <c r="B273" s="85">
        <v>0</v>
      </c>
      <c r="C273" s="6" t="s">
        <v>667</v>
      </c>
      <c r="D273" s="6">
        <v>622</v>
      </c>
      <c r="E273" s="3" t="s">
        <v>1292</v>
      </c>
      <c r="F273" s="137">
        <v>39041</v>
      </c>
      <c r="G273" s="3" t="s">
        <v>1289</v>
      </c>
    </row>
    <row r="274" spans="1:5" ht="12.75">
      <c r="A274" s="85">
        <v>615</v>
      </c>
      <c r="B274" s="85">
        <v>0</v>
      </c>
      <c r="C274" s="6" t="s">
        <v>667</v>
      </c>
      <c r="D274" s="6">
        <v>622</v>
      </c>
      <c r="E274" s="3" t="s">
        <v>675</v>
      </c>
    </row>
    <row r="275" spans="1:7" ht="12.75">
      <c r="A275" s="85">
        <v>601</v>
      </c>
      <c r="B275" s="85">
        <v>0</v>
      </c>
      <c r="C275" s="6" t="s">
        <v>667</v>
      </c>
      <c r="D275" s="6">
        <v>622</v>
      </c>
      <c r="E275" s="3" t="s">
        <v>1302</v>
      </c>
      <c r="F275" s="137">
        <v>39041</v>
      </c>
      <c r="G275" s="3" t="s">
        <v>1289</v>
      </c>
    </row>
    <row r="276" spans="1:5" ht="12.75">
      <c r="A276" s="85">
        <v>528</v>
      </c>
      <c r="B276" s="85">
        <v>0</v>
      </c>
      <c r="C276" s="6" t="s">
        <v>667</v>
      </c>
      <c r="D276" s="6">
        <v>622</v>
      </c>
      <c r="E276" s="3" t="s">
        <v>1344</v>
      </c>
    </row>
    <row r="277" spans="1:7" ht="12.75">
      <c r="A277" s="85">
        <v>590.5</v>
      </c>
      <c r="B277" s="85">
        <v>0</v>
      </c>
      <c r="C277" s="6" t="s">
        <v>667</v>
      </c>
      <c r="D277" s="6">
        <v>622</v>
      </c>
      <c r="E277" s="3" t="s">
        <v>544</v>
      </c>
      <c r="F277" s="133">
        <v>37827</v>
      </c>
      <c r="G277" s="3" t="s">
        <v>1388</v>
      </c>
    </row>
    <row r="278" spans="1:7" ht="12.75">
      <c r="A278" s="85">
        <v>598</v>
      </c>
      <c r="B278" s="85">
        <v>0</v>
      </c>
      <c r="C278" s="6" t="s">
        <v>667</v>
      </c>
      <c r="D278" s="6">
        <v>622</v>
      </c>
      <c r="E278" s="3" t="s">
        <v>1343</v>
      </c>
      <c r="F278" s="133">
        <v>37728</v>
      </c>
      <c r="G278" s="3" t="s">
        <v>1345</v>
      </c>
    </row>
    <row r="279" spans="1:5" ht="12.75">
      <c r="A279" s="85">
        <v>615</v>
      </c>
      <c r="B279" s="85">
        <v>0</v>
      </c>
      <c r="C279" s="6" t="s">
        <v>667</v>
      </c>
      <c r="D279" s="6">
        <v>622</v>
      </c>
      <c r="E279" s="3" t="s">
        <v>1173</v>
      </c>
    </row>
    <row r="280" spans="1:5" ht="12.75">
      <c r="A280" s="85">
        <v>616</v>
      </c>
      <c r="B280" s="85">
        <v>0</v>
      </c>
      <c r="C280" s="6" t="s">
        <v>667</v>
      </c>
      <c r="D280" s="6">
        <v>622</v>
      </c>
      <c r="E280" s="3" t="s">
        <v>897</v>
      </c>
    </row>
    <row r="281" spans="1:5" ht="12.75">
      <c r="A281" s="85">
        <v>615</v>
      </c>
      <c r="B281" s="85">
        <v>0</v>
      </c>
      <c r="C281" s="6" t="s">
        <v>667</v>
      </c>
      <c r="D281" s="6">
        <v>622</v>
      </c>
      <c r="E281" s="3" t="s">
        <v>1171</v>
      </c>
    </row>
    <row r="282" spans="1:5" ht="12.75">
      <c r="A282" s="85">
        <v>616</v>
      </c>
      <c r="B282" s="85">
        <v>0</v>
      </c>
      <c r="C282" s="6" t="s">
        <v>667</v>
      </c>
      <c r="D282" s="6">
        <v>622</v>
      </c>
      <c r="E282" s="3" t="s">
        <v>1169</v>
      </c>
    </row>
    <row r="283" spans="1:5" ht="12.75">
      <c r="A283" s="85">
        <v>611</v>
      </c>
      <c r="B283" s="85">
        <v>0</v>
      </c>
      <c r="C283" s="6" t="s">
        <v>667</v>
      </c>
      <c r="D283" s="6">
        <v>622</v>
      </c>
      <c r="E283" s="3" t="s">
        <v>1163</v>
      </c>
    </row>
    <row r="284" spans="1:5" ht="12.75">
      <c r="A284" s="85">
        <v>607</v>
      </c>
      <c r="B284" s="85">
        <v>0</v>
      </c>
      <c r="C284" s="6" t="s">
        <v>667</v>
      </c>
      <c r="D284" s="6">
        <v>622</v>
      </c>
      <c r="E284" s="3" t="s">
        <v>677</v>
      </c>
    </row>
    <row r="285" spans="1:5" ht="12.75">
      <c r="A285" s="85">
        <v>602</v>
      </c>
      <c r="B285" s="85">
        <v>0</v>
      </c>
      <c r="C285" s="6" t="s">
        <v>667</v>
      </c>
      <c r="D285" s="6">
        <v>622</v>
      </c>
      <c r="E285" s="3" t="s">
        <v>678</v>
      </c>
    </row>
    <row r="286" spans="1:7" ht="12.75">
      <c r="A286" s="85">
        <v>600.3</v>
      </c>
      <c r="B286" s="85">
        <v>0</v>
      </c>
      <c r="C286" s="6" t="s">
        <v>667</v>
      </c>
      <c r="D286" s="6">
        <v>622</v>
      </c>
      <c r="E286" s="3" t="s">
        <v>1175</v>
      </c>
      <c r="F286" s="133">
        <v>37255</v>
      </c>
      <c r="G286" s="3" t="s">
        <v>1091</v>
      </c>
    </row>
    <row r="287" spans="1:5" ht="12.75">
      <c r="A287" s="85">
        <v>611</v>
      </c>
      <c r="B287" s="85">
        <v>0</v>
      </c>
      <c r="C287" s="6" t="s">
        <v>667</v>
      </c>
      <c r="D287" s="6">
        <v>622</v>
      </c>
      <c r="E287" s="3" t="s">
        <v>1164</v>
      </c>
    </row>
    <row r="288" spans="1:5" ht="12.75">
      <c r="A288" s="85">
        <v>609</v>
      </c>
      <c r="B288" s="85">
        <v>0</v>
      </c>
      <c r="C288" s="6" t="s">
        <v>667</v>
      </c>
      <c r="D288" s="6">
        <v>622</v>
      </c>
      <c r="E288" s="3" t="s">
        <v>1162</v>
      </c>
    </row>
    <row r="289" spans="1:5" ht="12.75">
      <c r="A289" s="85">
        <v>611</v>
      </c>
      <c r="B289" s="85">
        <v>0</v>
      </c>
      <c r="C289" s="6" t="s">
        <v>667</v>
      </c>
      <c r="D289" s="6">
        <v>622</v>
      </c>
      <c r="E289" s="3" t="s">
        <v>1166</v>
      </c>
    </row>
    <row r="290" spans="1:5" ht="12.75">
      <c r="A290" s="85">
        <v>609</v>
      </c>
      <c r="B290" s="85">
        <v>0</v>
      </c>
      <c r="C290" s="6" t="s">
        <v>667</v>
      </c>
      <c r="D290" s="6">
        <v>622</v>
      </c>
      <c r="E290" s="3" t="s">
        <v>1161</v>
      </c>
    </row>
    <row r="291" spans="1:5" ht="12.75">
      <c r="A291" s="85">
        <v>614</v>
      </c>
      <c r="B291" s="85">
        <v>0</v>
      </c>
      <c r="C291" s="6" t="s">
        <v>667</v>
      </c>
      <c r="D291" s="6">
        <v>622</v>
      </c>
      <c r="E291" s="3" t="s">
        <v>679</v>
      </c>
    </row>
    <row r="292" spans="1:7" ht="12.75">
      <c r="A292" s="85">
        <v>610.4</v>
      </c>
      <c r="B292" s="85">
        <v>0</v>
      </c>
      <c r="C292" s="6" t="s">
        <v>667</v>
      </c>
      <c r="D292" s="6">
        <v>622</v>
      </c>
      <c r="E292" s="3" t="s">
        <v>1156</v>
      </c>
      <c r="F292" s="133">
        <v>37255</v>
      </c>
      <c r="G292" s="3" t="s">
        <v>1091</v>
      </c>
    </row>
    <row r="293" spans="1:7" ht="12.75">
      <c r="A293" s="85">
        <v>606.3</v>
      </c>
      <c r="B293" s="85">
        <v>0</v>
      </c>
      <c r="C293" s="6" t="s">
        <v>667</v>
      </c>
      <c r="D293" s="6">
        <v>622</v>
      </c>
      <c r="E293" s="3" t="s">
        <v>1160</v>
      </c>
      <c r="F293" s="133">
        <v>37255</v>
      </c>
      <c r="G293" s="3" t="s">
        <v>1091</v>
      </c>
    </row>
    <row r="294" spans="1:7" ht="12.75">
      <c r="A294" s="85">
        <f>610.4+2</f>
        <v>612.4</v>
      </c>
      <c r="B294" s="85">
        <v>0</v>
      </c>
      <c r="C294" s="6" t="s">
        <v>667</v>
      </c>
      <c r="D294" s="6">
        <v>622</v>
      </c>
      <c r="E294" s="3" t="s">
        <v>1177</v>
      </c>
      <c r="F294" s="133">
        <v>37255</v>
      </c>
      <c r="G294" s="3" t="s">
        <v>1091</v>
      </c>
    </row>
    <row r="295" spans="1:7" ht="12.75">
      <c r="A295" s="85">
        <v>580</v>
      </c>
      <c r="B295" s="85">
        <v>0</v>
      </c>
      <c r="C295" s="6" t="s">
        <v>667</v>
      </c>
      <c r="D295" s="6">
        <v>622</v>
      </c>
      <c r="E295" s="3" t="s">
        <v>1157</v>
      </c>
      <c r="F295" s="133">
        <v>37255</v>
      </c>
      <c r="G295" s="3" t="s">
        <v>1091</v>
      </c>
    </row>
    <row r="296" spans="1:5" ht="12.75">
      <c r="A296" s="85">
        <v>615</v>
      </c>
      <c r="B296" s="85">
        <v>0</v>
      </c>
      <c r="C296" s="6" t="s">
        <v>667</v>
      </c>
      <c r="D296" s="6">
        <v>622</v>
      </c>
      <c r="E296" s="3" t="s">
        <v>1172</v>
      </c>
    </row>
    <row r="297" spans="1:7" ht="12.75">
      <c r="A297" s="85">
        <v>613</v>
      </c>
      <c r="B297" s="85">
        <v>0</v>
      </c>
      <c r="C297" s="6" t="s">
        <v>667</v>
      </c>
      <c r="D297" s="6">
        <v>622</v>
      </c>
      <c r="E297" s="3" t="s">
        <v>1170</v>
      </c>
      <c r="F297" s="133">
        <v>37255</v>
      </c>
      <c r="G297" s="3" t="s">
        <v>1091</v>
      </c>
    </row>
    <row r="298" spans="1:5" ht="12.75">
      <c r="A298" s="85">
        <v>611</v>
      </c>
      <c r="B298" s="85">
        <v>0</v>
      </c>
      <c r="C298" s="6" t="s">
        <v>667</v>
      </c>
      <c r="D298" s="6">
        <v>622</v>
      </c>
      <c r="E298" s="3" t="s">
        <v>1167</v>
      </c>
    </row>
    <row r="299" spans="1:5" ht="12.75">
      <c r="A299" s="85">
        <v>614</v>
      </c>
      <c r="B299" s="85">
        <v>0</v>
      </c>
      <c r="C299" s="6" t="s">
        <v>667</v>
      </c>
      <c r="D299" s="6">
        <v>622</v>
      </c>
      <c r="E299" s="3" t="s">
        <v>899</v>
      </c>
    </row>
    <row r="300" spans="1:7" ht="12.75">
      <c r="A300" s="85">
        <v>610.4</v>
      </c>
      <c r="B300" s="85">
        <v>0</v>
      </c>
      <c r="C300" s="6" t="s">
        <v>667</v>
      </c>
      <c r="D300" s="6">
        <v>622</v>
      </c>
      <c r="E300" s="3" t="s">
        <v>1140</v>
      </c>
      <c r="F300" s="133">
        <v>37255</v>
      </c>
      <c r="G300" s="3" t="s">
        <v>1091</v>
      </c>
    </row>
    <row r="301" spans="1:5" ht="12.75">
      <c r="A301" s="85">
        <v>611</v>
      </c>
      <c r="B301" s="85">
        <v>0</v>
      </c>
      <c r="C301" s="6" t="s">
        <v>667</v>
      </c>
      <c r="D301" s="6">
        <v>622</v>
      </c>
      <c r="E301" s="3" t="s">
        <v>1168</v>
      </c>
    </row>
    <row r="302" spans="1:5" ht="12.75">
      <c r="A302" s="85">
        <v>614</v>
      </c>
      <c r="B302" s="85">
        <v>0</v>
      </c>
      <c r="C302" s="6" t="s">
        <v>667</v>
      </c>
      <c r="D302" s="6">
        <v>622</v>
      </c>
      <c r="E302" s="3" t="s">
        <v>1159</v>
      </c>
    </row>
    <row r="303" spans="1:5" ht="12.75">
      <c r="A303" s="85">
        <v>614</v>
      </c>
      <c r="B303" s="85">
        <v>0</v>
      </c>
      <c r="C303" s="6" t="s">
        <v>667</v>
      </c>
      <c r="D303" s="6">
        <v>622</v>
      </c>
      <c r="E303" s="3" t="s">
        <v>1158</v>
      </c>
    </row>
    <row r="304" spans="1:7" ht="12.75">
      <c r="A304" s="85">
        <f>592+3</f>
        <v>595</v>
      </c>
      <c r="B304" s="85">
        <v>0</v>
      </c>
      <c r="C304" s="6" t="s">
        <v>667</v>
      </c>
      <c r="D304" s="6">
        <v>622</v>
      </c>
      <c r="E304" s="3" t="s">
        <v>515</v>
      </c>
      <c r="F304" s="133">
        <v>37322</v>
      </c>
      <c r="G304" s="3" t="s">
        <v>158</v>
      </c>
    </row>
    <row r="305" spans="1:7" ht="12.75">
      <c r="A305" s="85">
        <f>595+3</f>
        <v>598</v>
      </c>
      <c r="B305" s="85">
        <f>0.06*25.4</f>
        <v>1.5239999999999998</v>
      </c>
      <c r="C305" s="6" t="s">
        <v>667</v>
      </c>
      <c r="D305" s="6">
        <v>622</v>
      </c>
      <c r="E305" s="3" t="s">
        <v>364</v>
      </c>
      <c r="F305" s="133">
        <v>37322</v>
      </c>
      <c r="G305" s="3" t="s">
        <v>158</v>
      </c>
    </row>
    <row r="306" spans="1:7" ht="12.75">
      <c r="A306" s="85">
        <v>604.1</v>
      </c>
      <c r="B306" s="85">
        <v>1.5</v>
      </c>
      <c r="C306" s="6" t="s">
        <v>667</v>
      </c>
      <c r="D306" s="6">
        <v>622</v>
      </c>
      <c r="E306" s="3" t="s">
        <v>1601</v>
      </c>
      <c r="F306" s="133">
        <v>37498</v>
      </c>
      <c r="G306" s="3" t="s">
        <v>158</v>
      </c>
    </row>
    <row r="307" spans="1:7" ht="12.75">
      <c r="A307" s="85">
        <f>604+3</f>
        <v>607</v>
      </c>
      <c r="B307" s="85">
        <v>2.5</v>
      </c>
      <c r="C307" s="6" t="s">
        <v>667</v>
      </c>
      <c r="D307" s="6">
        <v>622</v>
      </c>
      <c r="E307" s="3" t="s">
        <v>1135</v>
      </c>
      <c r="F307" s="133">
        <v>37322</v>
      </c>
      <c r="G307" s="3" t="s">
        <v>158</v>
      </c>
    </row>
    <row r="308" spans="1:7" ht="12.75">
      <c r="A308" s="85">
        <v>580</v>
      </c>
      <c r="B308" s="85">
        <v>0</v>
      </c>
      <c r="C308" s="6" t="s">
        <v>667</v>
      </c>
      <c r="D308" s="6">
        <v>622</v>
      </c>
      <c r="E308" s="3" t="s">
        <v>638</v>
      </c>
      <c r="F308" s="133">
        <v>37593</v>
      </c>
      <c r="G308" s="3" t="s">
        <v>158</v>
      </c>
    </row>
    <row r="309" spans="1:7" ht="12.75">
      <c r="A309" s="85">
        <f>604+3</f>
        <v>607</v>
      </c>
      <c r="B309" s="85">
        <v>2.5</v>
      </c>
      <c r="C309" s="6" t="s">
        <v>667</v>
      </c>
      <c r="D309" s="6">
        <v>622</v>
      </c>
      <c r="E309" s="3" t="s">
        <v>1134</v>
      </c>
      <c r="F309" s="133">
        <v>37322</v>
      </c>
      <c r="G309" s="3" t="s">
        <v>158</v>
      </c>
    </row>
    <row r="310" spans="1:7" ht="12.75">
      <c r="A310" s="85">
        <v>598</v>
      </c>
      <c r="B310" s="85">
        <v>0</v>
      </c>
      <c r="C310" s="6" t="s">
        <v>667</v>
      </c>
      <c r="D310" s="6">
        <v>622</v>
      </c>
      <c r="E310" s="3" t="s">
        <v>328</v>
      </c>
      <c r="F310" s="133">
        <v>37593</v>
      </c>
      <c r="G310" s="3" t="s">
        <v>158</v>
      </c>
    </row>
    <row r="311" spans="1:7" ht="12.75">
      <c r="A311" s="85">
        <v>593.64</v>
      </c>
      <c r="B311" s="85">
        <v>0</v>
      </c>
      <c r="C311" s="6" t="s">
        <v>667</v>
      </c>
      <c r="D311" s="6">
        <v>622</v>
      </c>
      <c r="E311" s="3" t="s">
        <v>1121</v>
      </c>
      <c r="F311" s="133">
        <v>37728</v>
      </c>
      <c r="G311" s="3" t="s">
        <v>586</v>
      </c>
    </row>
    <row r="312" spans="1:7" ht="12.75">
      <c r="A312" s="85">
        <v>591.99</v>
      </c>
      <c r="B312" s="85">
        <v>0</v>
      </c>
      <c r="C312" s="6" t="s">
        <v>667</v>
      </c>
      <c r="D312" s="6">
        <v>622</v>
      </c>
      <c r="E312" s="3" t="s">
        <v>1121</v>
      </c>
      <c r="F312" s="133">
        <v>37728</v>
      </c>
      <c r="G312" s="3" t="s">
        <v>586</v>
      </c>
    </row>
    <row r="313" spans="1:7" ht="12.75">
      <c r="A313" s="85">
        <f>593+3</f>
        <v>596</v>
      </c>
      <c r="B313" s="85">
        <v>0</v>
      </c>
      <c r="C313" s="6" t="s">
        <v>667</v>
      </c>
      <c r="D313" s="6">
        <v>622</v>
      </c>
      <c r="E313" s="3" t="s">
        <v>1122</v>
      </c>
      <c r="F313" s="133">
        <v>37832</v>
      </c>
      <c r="G313" s="3" t="s">
        <v>586</v>
      </c>
    </row>
    <row r="314" spans="1:7" ht="12.75">
      <c r="A314" s="85">
        <f>604+3</f>
        <v>607</v>
      </c>
      <c r="B314" s="85">
        <v>2.5</v>
      </c>
      <c r="C314" s="6" t="s">
        <v>667</v>
      </c>
      <c r="D314" s="6">
        <v>622</v>
      </c>
      <c r="E314" s="3" t="s">
        <v>942</v>
      </c>
      <c r="F314" s="133">
        <v>38054</v>
      </c>
      <c r="G314" s="3" t="s">
        <v>158</v>
      </c>
    </row>
    <row r="315" spans="1:7" ht="12.75">
      <c r="A315" s="86">
        <v>589.18</v>
      </c>
      <c r="B315" s="85">
        <v>0</v>
      </c>
      <c r="C315" s="6" t="s">
        <v>667</v>
      </c>
      <c r="D315" s="6">
        <v>622</v>
      </c>
      <c r="E315" s="3" t="s">
        <v>1561</v>
      </c>
      <c r="F315" s="133">
        <v>38051</v>
      </c>
      <c r="G315" s="3" t="s">
        <v>586</v>
      </c>
    </row>
    <row r="316" spans="1:7" ht="12.75">
      <c r="A316" s="86">
        <v>589.18</v>
      </c>
      <c r="B316" s="85">
        <v>2</v>
      </c>
      <c r="C316" s="6" t="s">
        <v>667</v>
      </c>
      <c r="D316" s="6">
        <v>622</v>
      </c>
      <c r="E316" s="3" t="s">
        <v>1562</v>
      </c>
      <c r="F316" s="133">
        <v>38051</v>
      </c>
      <c r="G316" s="3" t="s">
        <v>586</v>
      </c>
    </row>
    <row r="317" spans="1:7" ht="12.75">
      <c r="A317" s="85">
        <f>604+3</f>
        <v>607</v>
      </c>
      <c r="B317" s="85">
        <v>0</v>
      </c>
      <c r="C317" s="6" t="s">
        <v>667</v>
      </c>
      <c r="D317" s="6">
        <v>622</v>
      </c>
      <c r="E317" s="3" t="s">
        <v>1067</v>
      </c>
      <c r="F317" s="133">
        <v>37322</v>
      </c>
      <c r="G317" s="3" t="s">
        <v>158</v>
      </c>
    </row>
    <row r="318" spans="1:7" ht="12.75">
      <c r="A318" s="85">
        <f>604+3</f>
        <v>607</v>
      </c>
      <c r="B318" s="85">
        <v>0</v>
      </c>
      <c r="C318" s="6" t="s">
        <v>667</v>
      </c>
      <c r="D318" s="6">
        <v>622</v>
      </c>
      <c r="E318" s="3" t="s">
        <v>1046</v>
      </c>
      <c r="F318" s="133">
        <v>37322</v>
      </c>
      <c r="G318" s="3" t="s">
        <v>158</v>
      </c>
    </row>
    <row r="319" spans="1:7" ht="12.75">
      <c r="A319" s="85">
        <f>604+3</f>
        <v>607</v>
      </c>
      <c r="B319" s="85">
        <v>2.5</v>
      </c>
      <c r="C319" s="6" t="s">
        <v>667</v>
      </c>
      <c r="D319" s="6">
        <v>622</v>
      </c>
      <c r="E319" s="3" t="s">
        <v>1047</v>
      </c>
      <c r="F319" s="133">
        <v>37322</v>
      </c>
      <c r="G319" s="3" t="s">
        <v>158</v>
      </c>
    </row>
    <row r="320" spans="1:7" ht="12.75">
      <c r="A320" s="85">
        <v>590.5</v>
      </c>
      <c r="B320" s="85">
        <v>0</v>
      </c>
      <c r="C320" s="6" t="s">
        <v>667</v>
      </c>
      <c r="D320" s="6">
        <v>622</v>
      </c>
      <c r="E320" s="3" t="s">
        <v>516</v>
      </c>
      <c r="F320" s="133">
        <v>37439</v>
      </c>
      <c r="G320" s="3" t="s">
        <v>586</v>
      </c>
    </row>
    <row r="321" spans="1:7" ht="12.75">
      <c r="A321" s="85">
        <v>593.5</v>
      </c>
      <c r="B321" s="85">
        <v>1.5</v>
      </c>
      <c r="C321" s="6" t="s">
        <v>667</v>
      </c>
      <c r="D321" s="6">
        <v>622</v>
      </c>
      <c r="E321" s="3" t="s">
        <v>943</v>
      </c>
      <c r="F321" s="133">
        <v>37300</v>
      </c>
      <c r="G321" s="3" t="s">
        <v>586</v>
      </c>
    </row>
    <row r="322" spans="1:7" ht="12.75">
      <c r="A322" s="85">
        <v>586.15</v>
      </c>
      <c r="B322" s="85">
        <v>0</v>
      </c>
      <c r="C322" s="6" t="s">
        <v>667</v>
      </c>
      <c r="D322" s="6">
        <v>622</v>
      </c>
      <c r="E322" s="3" t="s">
        <v>1133</v>
      </c>
      <c r="F322" s="133">
        <v>37459</v>
      </c>
      <c r="G322" s="3" t="s">
        <v>158</v>
      </c>
    </row>
    <row r="323" spans="1:5" ht="12.75">
      <c r="A323" s="85">
        <v>611</v>
      </c>
      <c r="B323" s="85">
        <v>0</v>
      </c>
      <c r="C323" s="6" t="s">
        <v>667</v>
      </c>
      <c r="D323" s="6">
        <v>622</v>
      </c>
      <c r="E323" s="3" t="s">
        <v>680</v>
      </c>
    </row>
    <row r="324" spans="1:5" ht="12.75">
      <c r="A324" s="85">
        <v>575</v>
      </c>
      <c r="B324" s="85">
        <v>0</v>
      </c>
      <c r="C324" s="6" t="s">
        <v>667</v>
      </c>
      <c r="D324" s="6">
        <v>622</v>
      </c>
      <c r="E324" s="3" t="s">
        <v>613</v>
      </c>
    </row>
    <row r="325" spans="1:5" ht="12.75">
      <c r="A325" s="85">
        <v>614</v>
      </c>
      <c r="B325" s="85">
        <v>0</v>
      </c>
      <c r="C325" s="6" t="s">
        <v>667</v>
      </c>
      <c r="D325" s="6">
        <v>622</v>
      </c>
      <c r="E325" s="3" t="s">
        <v>614</v>
      </c>
    </row>
    <row r="326" spans="1:5" ht="12.75">
      <c r="A326" s="85">
        <v>612</v>
      </c>
      <c r="B326" s="85">
        <v>0</v>
      </c>
      <c r="C326" s="6" t="s">
        <v>667</v>
      </c>
      <c r="D326" s="6">
        <v>622</v>
      </c>
      <c r="E326" s="3" t="s">
        <v>681</v>
      </c>
    </row>
    <row r="327" spans="1:5" ht="12.75">
      <c r="A327" s="85">
        <v>612</v>
      </c>
      <c r="B327" s="85">
        <v>0</v>
      </c>
      <c r="C327" s="6" t="s">
        <v>667</v>
      </c>
      <c r="D327" s="6">
        <v>622</v>
      </c>
      <c r="E327" s="3" t="s">
        <v>1243</v>
      </c>
    </row>
    <row r="328" spans="1:5" ht="12.75">
      <c r="A328" s="85">
        <v>600</v>
      </c>
      <c r="B328" s="85">
        <v>0</v>
      </c>
      <c r="C328" s="6" t="s">
        <v>667</v>
      </c>
      <c r="D328" s="6">
        <v>622</v>
      </c>
      <c r="E328" s="3" t="s">
        <v>616</v>
      </c>
    </row>
    <row r="329" spans="1:5" ht="12.75">
      <c r="A329" s="85">
        <v>612</v>
      </c>
      <c r="B329" s="85">
        <v>0</v>
      </c>
      <c r="C329" s="6" t="s">
        <v>667</v>
      </c>
      <c r="D329" s="6">
        <v>622</v>
      </c>
      <c r="E329" s="3" t="s">
        <v>1244</v>
      </c>
    </row>
    <row r="330" spans="1:7" ht="12.75">
      <c r="A330" s="85">
        <v>600</v>
      </c>
      <c r="B330" s="85">
        <v>0</v>
      </c>
      <c r="C330" s="6" t="s">
        <v>667</v>
      </c>
      <c r="D330" s="6">
        <v>622</v>
      </c>
      <c r="E330" s="3" t="s">
        <v>822</v>
      </c>
      <c r="F330" s="137">
        <v>38593</v>
      </c>
      <c r="G330" s="95" t="s">
        <v>823</v>
      </c>
    </row>
    <row r="331" spans="1:5" ht="12.75">
      <c r="A331" s="85">
        <v>608</v>
      </c>
      <c r="B331" s="85">
        <v>0</v>
      </c>
      <c r="C331" s="6" t="s">
        <v>667</v>
      </c>
      <c r="D331" s="6">
        <v>622</v>
      </c>
      <c r="E331" s="3" t="s">
        <v>1247</v>
      </c>
    </row>
    <row r="332" spans="1:5" ht="12.75">
      <c r="A332" s="85">
        <v>603</v>
      </c>
      <c r="B332" s="85">
        <v>0</v>
      </c>
      <c r="C332" s="6" t="s">
        <v>667</v>
      </c>
      <c r="D332" s="6">
        <v>622</v>
      </c>
      <c r="E332" s="3" t="s">
        <v>682</v>
      </c>
    </row>
    <row r="333" spans="1:5" ht="12.75">
      <c r="A333" s="85">
        <v>601</v>
      </c>
      <c r="B333" s="85">
        <v>0</v>
      </c>
      <c r="C333" s="6" t="s">
        <v>667</v>
      </c>
      <c r="D333" s="6">
        <v>622</v>
      </c>
      <c r="E333" s="3" t="s">
        <v>683</v>
      </c>
    </row>
    <row r="334" spans="1:5" ht="12.75">
      <c r="A334" s="85">
        <v>618</v>
      </c>
      <c r="B334" s="85">
        <v>0</v>
      </c>
      <c r="C334" s="6" t="s">
        <v>667</v>
      </c>
      <c r="D334" s="6">
        <v>622</v>
      </c>
      <c r="E334" s="3" t="s">
        <v>1246</v>
      </c>
    </row>
    <row r="335" spans="1:5" ht="12.75">
      <c r="A335" s="85">
        <v>600</v>
      </c>
      <c r="B335" s="85">
        <v>0</v>
      </c>
      <c r="C335" s="6" t="s">
        <v>667</v>
      </c>
      <c r="D335" s="6">
        <v>622</v>
      </c>
      <c r="E335" s="3" t="s">
        <v>617</v>
      </c>
    </row>
    <row r="336" spans="1:5" ht="12.75">
      <c r="A336" s="85">
        <v>608</v>
      </c>
      <c r="B336" s="85">
        <v>0</v>
      </c>
      <c r="C336" s="6" t="s">
        <v>667</v>
      </c>
      <c r="D336" s="6">
        <v>622</v>
      </c>
      <c r="E336" s="3" t="s">
        <v>618</v>
      </c>
    </row>
    <row r="337" spans="1:5" ht="12.75">
      <c r="A337" s="85">
        <v>613</v>
      </c>
      <c r="B337" s="85">
        <v>0</v>
      </c>
      <c r="C337" s="6" t="s">
        <v>667</v>
      </c>
      <c r="D337" s="6">
        <v>622</v>
      </c>
      <c r="E337" s="3" t="s">
        <v>619</v>
      </c>
    </row>
    <row r="338" spans="1:5" ht="12.75">
      <c r="A338" s="85">
        <v>612</v>
      </c>
      <c r="B338" s="85">
        <v>0</v>
      </c>
      <c r="C338" s="6" t="s">
        <v>667</v>
      </c>
      <c r="D338" s="6">
        <v>622</v>
      </c>
      <c r="E338" s="3" t="s">
        <v>1245</v>
      </c>
    </row>
    <row r="339" spans="1:5" ht="12.75">
      <c r="A339" s="85">
        <v>614</v>
      </c>
      <c r="B339" s="85">
        <v>0</v>
      </c>
      <c r="C339" s="6" t="s">
        <v>667</v>
      </c>
      <c r="D339" s="6">
        <v>622</v>
      </c>
      <c r="E339" s="3" t="s">
        <v>684</v>
      </c>
    </row>
    <row r="340" spans="1:5" ht="12.75">
      <c r="A340" s="85">
        <v>609</v>
      </c>
      <c r="B340" s="85">
        <v>0</v>
      </c>
      <c r="C340" s="6" t="s">
        <v>667</v>
      </c>
      <c r="D340" s="6">
        <v>622</v>
      </c>
      <c r="E340" s="3" t="s">
        <v>685</v>
      </c>
    </row>
    <row r="341" spans="1:5" ht="12.75">
      <c r="A341" s="85">
        <v>613</v>
      </c>
      <c r="B341" s="85">
        <v>0</v>
      </c>
      <c r="C341" s="6" t="s">
        <v>667</v>
      </c>
      <c r="D341" s="6">
        <v>622</v>
      </c>
      <c r="E341" s="3" t="s">
        <v>686</v>
      </c>
    </row>
    <row r="342" spans="1:5" ht="12.75">
      <c r="A342" s="85">
        <v>614</v>
      </c>
      <c r="B342" s="85">
        <v>0</v>
      </c>
      <c r="C342" s="6" t="s">
        <v>667</v>
      </c>
      <c r="D342" s="6">
        <v>622</v>
      </c>
      <c r="E342" s="3" t="s">
        <v>687</v>
      </c>
    </row>
    <row r="343" spans="1:5" ht="12.75">
      <c r="A343" s="85">
        <v>600</v>
      </c>
      <c r="B343" s="85">
        <v>0</v>
      </c>
      <c r="C343" s="6" t="s">
        <v>667</v>
      </c>
      <c r="D343" s="6">
        <v>622</v>
      </c>
      <c r="E343" s="3" t="s">
        <v>615</v>
      </c>
    </row>
    <row r="344" spans="1:5" ht="12.75">
      <c r="A344" s="85">
        <v>615</v>
      </c>
      <c r="B344" s="85">
        <v>0</v>
      </c>
      <c r="C344" s="6" t="s">
        <v>667</v>
      </c>
      <c r="D344" s="6">
        <v>622</v>
      </c>
      <c r="E344" s="3" t="s">
        <v>688</v>
      </c>
    </row>
    <row r="345" spans="1:7" ht="12.75">
      <c r="A345" s="85">
        <f>AVERAGE(597,596,596,597,596.5)</f>
        <v>596.5</v>
      </c>
      <c r="B345" s="85">
        <v>0</v>
      </c>
      <c r="C345" s="6" t="s">
        <v>667</v>
      </c>
      <c r="D345" s="6">
        <v>622</v>
      </c>
      <c r="E345" s="3" t="s">
        <v>1048</v>
      </c>
      <c r="F345" s="133">
        <v>37452</v>
      </c>
      <c r="G345" s="3" t="s">
        <v>158</v>
      </c>
    </row>
    <row r="346" spans="1:7" ht="12.75">
      <c r="A346" s="85">
        <v>599</v>
      </c>
      <c r="B346" s="85">
        <v>0</v>
      </c>
      <c r="C346" s="6" t="s">
        <v>667</v>
      </c>
      <c r="D346" s="6">
        <v>622</v>
      </c>
      <c r="E346" s="3" t="s">
        <v>810</v>
      </c>
      <c r="F346" s="133">
        <v>38661</v>
      </c>
      <c r="G346" s="3" t="s">
        <v>811</v>
      </c>
    </row>
    <row r="347" spans="1:7" ht="12.75">
      <c r="A347" s="85">
        <v>600</v>
      </c>
      <c r="B347" s="85">
        <v>0</v>
      </c>
      <c r="C347" s="6" t="s">
        <v>667</v>
      </c>
      <c r="D347" s="6">
        <v>622</v>
      </c>
      <c r="E347" s="3" t="s">
        <v>818</v>
      </c>
      <c r="F347" s="133">
        <v>38661</v>
      </c>
      <c r="G347" s="3" t="s">
        <v>811</v>
      </c>
    </row>
    <row r="348" spans="1:5" ht="12.75">
      <c r="A348" s="85">
        <v>611</v>
      </c>
      <c r="B348" s="85">
        <v>0</v>
      </c>
      <c r="C348" s="6" t="s">
        <v>667</v>
      </c>
      <c r="D348" s="6">
        <v>622</v>
      </c>
      <c r="E348" s="3" t="s">
        <v>689</v>
      </c>
    </row>
    <row r="349" spans="1:5" ht="12.75">
      <c r="A349" s="85">
        <v>562</v>
      </c>
      <c r="B349" s="85">
        <v>0</v>
      </c>
      <c r="C349" s="6" t="s">
        <v>667</v>
      </c>
      <c r="D349" s="6">
        <v>622</v>
      </c>
      <c r="E349" s="3" t="s">
        <v>690</v>
      </c>
    </row>
    <row r="350" spans="1:5" ht="12.75">
      <c r="A350" s="85">
        <v>600</v>
      </c>
      <c r="B350" s="85">
        <v>0</v>
      </c>
      <c r="C350" s="6" t="s">
        <v>667</v>
      </c>
      <c r="D350" s="6">
        <v>622</v>
      </c>
      <c r="E350" s="3" t="s">
        <v>691</v>
      </c>
    </row>
    <row r="351" spans="1:5" ht="12.75">
      <c r="A351" s="85">
        <v>610</v>
      </c>
      <c r="B351" s="85">
        <v>0</v>
      </c>
      <c r="C351" s="6" t="s">
        <v>667</v>
      </c>
      <c r="D351" s="6">
        <v>622</v>
      </c>
      <c r="E351" s="3" t="s">
        <v>692</v>
      </c>
    </row>
    <row r="352" spans="1:5" ht="12.75">
      <c r="A352" s="85">
        <v>610</v>
      </c>
      <c r="B352" s="85">
        <v>0</v>
      </c>
      <c r="C352" s="6" t="s">
        <v>667</v>
      </c>
      <c r="D352" s="6">
        <v>622</v>
      </c>
      <c r="E352" s="3" t="s">
        <v>693</v>
      </c>
    </row>
    <row r="353" spans="1:5" ht="12.75">
      <c r="A353" s="85">
        <v>608</v>
      </c>
      <c r="B353" s="85">
        <v>0</v>
      </c>
      <c r="C353" s="6" t="s">
        <v>667</v>
      </c>
      <c r="D353" s="6">
        <v>622</v>
      </c>
      <c r="E353" s="3" t="s">
        <v>694</v>
      </c>
    </row>
    <row r="354" spans="1:5" ht="12.75">
      <c r="A354" s="85">
        <v>609</v>
      </c>
      <c r="B354" s="85">
        <v>0</v>
      </c>
      <c r="C354" s="6" t="s">
        <v>667</v>
      </c>
      <c r="D354" s="6">
        <v>622</v>
      </c>
      <c r="E354" s="3" t="s">
        <v>697</v>
      </c>
    </row>
    <row r="355" spans="1:5" ht="12.75">
      <c r="A355" s="85">
        <v>614</v>
      </c>
      <c r="B355" s="85">
        <v>0</v>
      </c>
      <c r="C355" s="6" t="s">
        <v>667</v>
      </c>
      <c r="D355" s="6">
        <v>622</v>
      </c>
      <c r="E355" s="3" t="s">
        <v>1248</v>
      </c>
    </row>
    <row r="356" spans="1:5" ht="12.75">
      <c r="A356" s="85">
        <v>614</v>
      </c>
      <c r="B356" s="85">
        <v>0</v>
      </c>
      <c r="C356" s="6" t="s">
        <v>667</v>
      </c>
      <c r="D356" s="6">
        <v>622</v>
      </c>
      <c r="E356" s="3" t="s">
        <v>1249</v>
      </c>
    </row>
    <row r="357" spans="1:5" ht="12.75">
      <c r="A357" s="85">
        <v>614</v>
      </c>
      <c r="B357" s="85">
        <v>0</v>
      </c>
      <c r="C357" s="6" t="s">
        <v>667</v>
      </c>
      <c r="D357" s="6">
        <v>622</v>
      </c>
      <c r="E357" s="3" t="s">
        <v>1250</v>
      </c>
    </row>
    <row r="358" spans="1:5" ht="12.75">
      <c r="A358" s="85">
        <v>614</v>
      </c>
      <c r="B358" s="85">
        <v>0</v>
      </c>
      <c r="C358" s="6" t="s">
        <v>667</v>
      </c>
      <c r="D358" s="6">
        <v>622</v>
      </c>
      <c r="E358" s="3" t="s">
        <v>1251</v>
      </c>
    </row>
    <row r="359" spans="1:5" ht="12.75">
      <c r="A359" s="85">
        <v>606</v>
      </c>
      <c r="B359" s="85">
        <v>0</v>
      </c>
      <c r="C359" s="6" t="s">
        <v>667</v>
      </c>
      <c r="D359" s="6">
        <v>622</v>
      </c>
      <c r="E359" s="3" t="s">
        <v>698</v>
      </c>
    </row>
    <row r="360" spans="1:5" ht="12.75">
      <c r="A360" s="85">
        <v>585</v>
      </c>
      <c r="B360" s="85">
        <v>0</v>
      </c>
      <c r="C360" s="6" t="s">
        <v>667</v>
      </c>
      <c r="D360" s="6">
        <v>622</v>
      </c>
      <c r="E360" s="3" t="s">
        <v>699</v>
      </c>
    </row>
    <row r="361" spans="1:7" ht="12.75">
      <c r="A361" s="85">
        <v>591</v>
      </c>
      <c r="B361" s="85">
        <v>0</v>
      </c>
      <c r="C361" s="6" t="s">
        <v>667</v>
      </c>
      <c r="D361" s="6">
        <v>622</v>
      </c>
      <c r="E361" s="3" t="s">
        <v>191</v>
      </c>
      <c r="F361" s="133">
        <v>37974</v>
      </c>
      <c r="G361" s="3" t="s">
        <v>192</v>
      </c>
    </row>
    <row r="362" spans="1:5" ht="12.75">
      <c r="A362" s="85">
        <v>585</v>
      </c>
      <c r="B362" s="85">
        <v>0</v>
      </c>
      <c r="C362" s="6" t="s">
        <v>667</v>
      </c>
      <c r="D362" s="6">
        <v>622</v>
      </c>
      <c r="E362" s="3" t="s">
        <v>191</v>
      </c>
    </row>
    <row r="363" spans="1:5" ht="12.75">
      <c r="A363" s="85">
        <v>614</v>
      </c>
      <c r="B363" s="85">
        <v>0</v>
      </c>
      <c r="C363" s="6" t="s">
        <v>667</v>
      </c>
      <c r="D363" s="6">
        <v>622</v>
      </c>
      <c r="E363" s="3" t="s">
        <v>700</v>
      </c>
    </row>
    <row r="364" spans="1:5" ht="12.75">
      <c r="A364" s="85">
        <v>605</v>
      </c>
      <c r="B364" s="85">
        <v>0</v>
      </c>
      <c r="C364" s="6" t="s">
        <v>667</v>
      </c>
      <c r="D364" s="6">
        <v>622</v>
      </c>
      <c r="E364" s="3" t="s">
        <v>702</v>
      </c>
    </row>
    <row r="365" spans="1:5" ht="12.75">
      <c r="A365" s="85">
        <v>600</v>
      </c>
      <c r="B365" s="85">
        <v>0</v>
      </c>
      <c r="C365" s="6" t="s">
        <v>667</v>
      </c>
      <c r="D365" s="6">
        <v>622</v>
      </c>
      <c r="E365" s="3" t="s">
        <v>703</v>
      </c>
    </row>
    <row r="366" spans="1:5" ht="12.75">
      <c r="A366" s="85">
        <v>582</v>
      </c>
      <c r="B366" s="85">
        <v>0</v>
      </c>
      <c r="C366" s="6" t="s">
        <v>667</v>
      </c>
      <c r="D366" s="6">
        <v>622</v>
      </c>
      <c r="E366" s="3" t="s">
        <v>704</v>
      </c>
    </row>
    <row r="367" spans="1:5" ht="12.75">
      <c r="A367" s="85">
        <v>582</v>
      </c>
      <c r="B367" s="85">
        <v>0</v>
      </c>
      <c r="C367" s="6" t="s">
        <v>667</v>
      </c>
      <c r="D367" s="6">
        <v>622</v>
      </c>
      <c r="E367" s="3" t="s">
        <v>705</v>
      </c>
    </row>
    <row r="368" spans="1:7" ht="12.75">
      <c r="A368" s="85">
        <v>604</v>
      </c>
      <c r="B368" s="85">
        <v>0</v>
      </c>
      <c r="C368" s="6" t="s">
        <v>667</v>
      </c>
      <c r="D368" s="6">
        <v>622</v>
      </c>
      <c r="E368" s="3" t="s">
        <v>1327</v>
      </c>
      <c r="F368" s="137">
        <v>39053</v>
      </c>
      <c r="G368" s="3" t="s">
        <v>1328</v>
      </c>
    </row>
    <row r="369" spans="1:7" ht="12.75">
      <c r="A369" s="85">
        <v>604</v>
      </c>
      <c r="B369" s="85">
        <v>1.5</v>
      </c>
      <c r="C369" s="6" t="s">
        <v>667</v>
      </c>
      <c r="D369" s="6">
        <v>622</v>
      </c>
      <c r="E369" s="3" t="s">
        <v>1330</v>
      </c>
      <c r="F369" s="137">
        <v>39053</v>
      </c>
      <c r="G369" s="3" t="s">
        <v>1328</v>
      </c>
    </row>
    <row r="370" spans="1:7" ht="12.75">
      <c r="A370" s="85">
        <v>576</v>
      </c>
      <c r="B370" s="85">
        <v>0</v>
      </c>
      <c r="C370" s="6" t="s">
        <v>667</v>
      </c>
      <c r="D370" s="6">
        <v>622</v>
      </c>
      <c r="E370" s="3" t="s">
        <v>1329</v>
      </c>
      <c r="F370" s="137">
        <v>39053</v>
      </c>
      <c r="G370" s="3" t="s">
        <v>1328</v>
      </c>
    </row>
    <row r="371" spans="1:7" ht="12.75">
      <c r="A371" s="85">
        <v>607</v>
      </c>
      <c r="B371" s="85">
        <v>0</v>
      </c>
      <c r="C371" s="6" t="s">
        <v>667</v>
      </c>
      <c r="D371" s="6">
        <v>622</v>
      </c>
      <c r="E371" s="3" t="s">
        <v>1333</v>
      </c>
      <c r="F371" s="137">
        <v>39053</v>
      </c>
      <c r="G371" s="3" t="s">
        <v>1328</v>
      </c>
    </row>
    <row r="372" spans="1:5" ht="12.75">
      <c r="A372" s="85">
        <f>610</f>
        <v>610</v>
      </c>
      <c r="B372" s="85">
        <v>0</v>
      </c>
      <c r="C372" s="6" t="s">
        <v>667</v>
      </c>
      <c r="D372" s="6">
        <v>622</v>
      </c>
      <c r="E372" s="3" t="s">
        <v>273</v>
      </c>
    </row>
    <row r="373" spans="1:7" ht="12.75">
      <c r="A373" s="85">
        <f>603+3</f>
        <v>606</v>
      </c>
      <c r="B373" s="85">
        <v>2</v>
      </c>
      <c r="C373" s="6" t="s">
        <v>667</v>
      </c>
      <c r="D373" s="6">
        <v>622</v>
      </c>
      <c r="E373" s="3" t="s">
        <v>854</v>
      </c>
      <c r="F373" s="137">
        <v>38376</v>
      </c>
      <c r="G373" s="3" t="s">
        <v>855</v>
      </c>
    </row>
    <row r="374" spans="1:5" ht="12.75">
      <c r="A374" s="85">
        <v>597</v>
      </c>
      <c r="B374" s="85">
        <v>0</v>
      </c>
      <c r="C374" s="6" t="s">
        <v>667</v>
      </c>
      <c r="D374" s="6">
        <v>622</v>
      </c>
      <c r="E374" s="3" t="s">
        <v>708</v>
      </c>
    </row>
    <row r="375" spans="1:5" ht="12.75">
      <c r="A375" s="85">
        <v>601</v>
      </c>
      <c r="B375" s="85">
        <v>0</v>
      </c>
      <c r="C375" s="6" t="s">
        <v>667</v>
      </c>
      <c r="D375" s="6">
        <v>622</v>
      </c>
      <c r="E375" s="3" t="s">
        <v>709</v>
      </c>
    </row>
    <row r="376" spans="1:7" ht="12.75">
      <c r="A376" s="85">
        <v>603.9</v>
      </c>
      <c r="B376" s="85">
        <v>1.5</v>
      </c>
      <c r="C376" s="6" t="s">
        <v>667</v>
      </c>
      <c r="D376" s="6">
        <v>622</v>
      </c>
      <c r="E376" s="3" t="s">
        <v>1068</v>
      </c>
      <c r="F376" s="133">
        <v>37324</v>
      </c>
      <c r="G376" s="3" t="s">
        <v>482</v>
      </c>
    </row>
    <row r="377" spans="1:7" ht="12.75">
      <c r="A377" s="85">
        <v>603.9</v>
      </c>
      <c r="B377" s="85">
        <v>1.5</v>
      </c>
      <c r="C377" s="6" t="s">
        <v>667</v>
      </c>
      <c r="D377" s="6">
        <v>622</v>
      </c>
      <c r="E377" s="3" t="s">
        <v>1068</v>
      </c>
      <c r="F377" s="133">
        <v>37324</v>
      </c>
      <c r="G377" s="3" t="s">
        <v>482</v>
      </c>
    </row>
    <row r="378" spans="1:7" ht="12.75">
      <c r="A378" s="85">
        <v>603.9</v>
      </c>
      <c r="B378" s="85">
        <v>1.5</v>
      </c>
      <c r="C378" s="6" t="s">
        <v>667</v>
      </c>
      <c r="D378" s="6">
        <v>622</v>
      </c>
      <c r="E378" s="3" t="s">
        <v>1068</v>
      </c>
      <c r="F378" s="133">
        <v>37324</v>
      </c>
      <c r="G378" s="3" t="s">
        <v>482</v>
      </c>
    </row>
    <row r="379" spans="1:7" ht="12.75">
      <c r="A379" s="85">
        <f>592+3</f>
        <v>595</v>
      </c>
      <c r="B379" s="85">
        <v>0</v>
      </c>
      <c r="C379" s="6" t="s">
        <v>667</v>
      </c>
      <c r="D379" s="6">
        <v>622</v>
      </c>
      <c r="E379" s="3" t="s">
        <v>1068</v>
      </c>
      <c r="F379" s="133">
        <v>37322</v>
      </c>
      <c r="G379" s="3" t="s">
        <v>158</v>
      </c>
    </row>
    <row r="380" spans="1:7" ht="12.75">
      <c r="A380" s="85">
        <f>592+3</f>
        <v>595</v>
      </c>
      <c r="B380" s="85">
        <v>0</v>
      </c>
      <c r="C380" s="6" t="s">
        <v>667</v>
      </c>
      <c r="D380" s="6">
        <v>622</v>
      </c>
      <c r="E380" s="3" t="s">
        <v>1068</v>
      </c>
      <c r="F380" s="133">
        <v>37322</v>
      </c>
      <c r="G380" s="3" t="s">
        <v>158</v>
      </c>
    </row>
    <row r="381" spans="1:7" ht="12.75">
      <c r="A381" s="85">
        <f>592+3</f>
        <v>595</v>
      </c>
      <c r="B381" s="85">
        <v>0</v>
      </c>
      <c r="C381" s="6" t="s">
        <v>667</v>
      </c>
      <c r="D381" s="6">
        <v>622</v>
      </c>
      <c r="E381" s="3" t="s">
        <v>1068</v>
      </c>
      <c r="F381" s="133">
        <v>37322</v>
      </c>
      <c r="G381" s="3" t="s">
        <v>158</v>
      </c>
    </row>
    <row r="382" spans="1:5" ht="12.75">
      <c r="A382" s="85">
        <v>611</v>
      </c>
      <c r="B382" s="85">
        <v>0</v>
      </c>
      <c r="C382" s="6" t="s">
        <v>667</v>
      </c>
      <c r="D382" s="6">
        <v>622</v>
      </c>
      <c r="E382" s="3" t="s">
        <v>902</v>
      </c>
    </row>
    <row r="383" spans="1:5" ht="12.75">
      <c r="A383" s="85">
        <v>611</v>
      </c>
      <c r="B383" s="85">
        <v>0</v>
      </c>
      <c r="C383" s="6" t="s">
        <v>667</v>
      </c>
      <c r="D383" s="6">
        <v>622</v>
      </c>
      <c r="E383" s="3" t="s">
        <v>1253</v>
      </c>
    </row>
    <row r="384" spans="1:5" ht="12.75">
      <c r="A384" s="85">
        <v>614</v>
      </c>
      <c r="B384" s="85">
        <v>0</v>
      </c>
      <c r="C384" s="6" t="s">
        <v>667</v>
      </c>
      <c r="D384" s="6">
        <v>622</v>
      </c>
      <c r="E384" s="3" t="s">
        <v>710</v>
      </c>
    </row>
    <row r="385" spans="1:5" ht="12.75">
      <c r="A385" s="85">
        <v>611</v>
      </c>
      <c r="B385" s="85">
        <v>0</v>
      </c>
      <c r="C385" s="6" t="s">
        <v>667</v>
      </c>
      <c r="D385" s="6">
        <v>622</v>
      </c>
      <c r="E385" s="3" t="s">
        <v>1252</v>
      </c>
    </row>
    <row r="386" spans="1:5" ht="12.75">
      <c r="A386" s="85">
        <v>611</v>
      </c>
      <c r="B386" s="85">
        <v>0</v>
      </c>
      <c r="C386" s="6" t="s">
        <v>667</v>
      </c>
      <c r="D386" s="6">
        <v>622</v>
      </c>
      <c r="E386" s="3" t="s">
        <v>711</v>
      </c>
    </row>
    <row r="387" spans="1:5" ht="12.75">
      <c r="A387" s="85">
        <v>605</v>
      </c>
      <c r="B387" s="85">
        <v>0</v>
      </c>
      <c r="C387" s="6" t="s">
        <v>667</v>
      </c>
      <c r="D387" s="6">
        <v>622</v>
      </c>
      <c r="E387" s="3" t="s">
        <v>713</v>
      </c>
    </row>
    <row r="388" spans="1:7" ht="12.75">
      <c r="A388" s="85">
        <v>604</v>
      </c>
      <c r="B388" s="85">
        <v>0</v>
      </c>
      <c r="C388" s="6" t="s">
        <v>667</v>
      </c>
      <c r="D388" s="6">
        <v>622</v>
      </c>
      <c r="E388" s="3" t="s">
        <v>193</v>
      </c>
      <c r="F388" s="133">
        <v>38304</v>
      </c>
      <c r="G388" s="3" t="s">
        <v>194</v>
      </c>
    </row>
    <row r="389" spans="1:7" ht="12.75">
      <c r="A389" s="85">
        <v>602.5</v>
      </c>
      <c r="B389" s="85">
        <v>0</v>
      </c>
      <c r="C389" s="6" t="s">
        <v>667</v>
      </c>
      <c r="D389" s="6">
        <v>622</v>
      </c>
      <c r="E389" s="3" t="s">
        <v>195</v>
      </c>
      <c r="F389" s="133">
        <v>38304</v>
      </c>
      <c r="G389" s="3" t="s">
        <v>194</v>
      </c>
    </row>
    <row r="390" spans="1:7" ht="12.75">
      <c r="A390" s="85">
        <v>604.5</v>
      </c>
      <c r="B390" s="85">
        <v>0</v>
      </c>
      <c r="C390" s="6" t="s">
        <v>667</v>
      </c>
      <c r="D390" s="6">
        <v>622</v>
      </c>
      <c r="E390" s="3" t="s">
        <v>196</v>
      </c>
      <c r="F390" s="133">
        <v>38304</v>
      </c>
      <c r="G390" s="3" t="s">
        <v>194</v>
      </c>
    </row>
    <row r="391" spans="1:7" ht="12.75">
      <c r="A391" s="85">
        <v>602.5</v>
      </c>
      <c r="B391" s="85">
        <v>0</v>
      </c>
      <c r="C391" s="6" t="s">
        <v>667</v>
      </c>
      <c r="D391" s="6">
        <v>622</v>
      </c>
      <c r="E391" s="3" t="s">
        <v>197</v>
      </c>
      <c r="F391" s="133">
        <v>38304</v>
      </c>
      <c r="G391" s="3" t="s">
        <v>194</v>
      </c>
    </row>
    <row r="392" spans="1:7" ht="12.75">
      <c r="A392" s="85">
        <v>600.5</v>
      </c>
      <c r="B392" s="85">
        <v>0</v>
      </c>
      <c r="C392" s="6" t="s">
        <v>667</v>
      </c>
      <c r="D392" s="6">
        <v>622</v>
      </c>
      <c r="E392" s="3" t="s">
        <v>198</v>
      </c>
      <c r="F392" s="133">
        <v>38304</v>
      </c>
      <c r="G392" s="3" t="s">
        <v>194</v>
      </c>
    </row>
    <row r="393" spans="1:7" ht="12.75">
      <c r="A393" s="85">
        <v>601</v>
      </c>
      <c r="B393" s="85">
        <v>0</v>
      </c>
      <c r="C393" s="6" t="s">
        <v>667</v>
      </c>
      <c r="D393" s="6">
        <v>622</v>
      </c>
      <c r="E393" s="3" t="s">
        <v>714</v>
      </c>
      <c r="F393" s="133">
        <v>38304</v>
      </c>
      <c r="G393" s="3" t="s">
        <v>194</v>
      </c>
    </row>
    <row r="394" spans="1:5" ht="12.75">
      <c r="A394" s="85">
        <v>600</v>
      </c>
      <c r="B394" s="85">
        <v>0</v>
      </c>
      <c r="C394" s="6" t="s">
        <v>667</v>
      </c>
      <c r="D394" s="6">
        <v>622</v>
      </c>
      <c r="E394" s="3" t="s">
        <v>714</v>
      </c>
    </row>
    <row r="395" spans="1:7" ht="12.75">
      <c r="A395" s="85">
        <f>598.5+3</f>
        <v>601.5</v>
      </c>
      <c r="B395" s="85">
        <v>0</v>
      </c>
      <c r="C395" s="6" t="s">
        <v>667</v>
      </c>
      <c r="D395" s="6">
        <v>622</v>
      </c>
      <c r="E395" s="3" t="s">
        <v>62</v>
      </c>
      <c r="F395" s="133">
        <v>37253</v>
      </c>
      <c r="G395" s="3" t="s">
        <v>568</v>
      </c>
    </row>
    <row r="396" spans="1:7" ht="12.75">
      <c r="A396" s="85">
        <f>594+3</f>
        <v>597</v>
      </c>
      <c r="B396" s="85">
        <v>0</v>
      </c>
      <c r="C396" s="6" t="s">
        <v>667</v>
      </c>
      <c r="D396" s="6">
        <v>622</v>
      </c>
      <c r="E396" s="3" t="s">
        <v>29</v>
      </c>
      <c r="F396" s="133">
        <v>37235</v>
      </c>
      <c r="G396" s="3" t="s">
        <v>568</v>
      </c>
    </row>
    <row r="397" spans="1:7" ht="12.75">
      <c r="A397" s="85">
        <f>584+3</f>
        <v>587</v>
      </c>
      <c r="B397" s="85">
        <v>0</v>
      </c>
      <c r="C397" s="6" t="s">
        <v>667</v>
      </c>
      <c r="D397" s="6">
        <v>622</v>
      </c>
      <c r="E397" s="3" t="s">
        <v>33</v>
      </c>
      <c r="F397" s="133">
        <v>37235</v>
      </c>
      <c r="G397" s="3" t="s">
        <v>568</v>
      </c>
    </row>
    <row r="398" spans="1:7" ht="12.75">
      <c r="A398" s="85">
        <f>598.5+3</f>
        <v>601.5</v>
      </c>
      <c r="B398" s="85">
        <v>0</v>
      </c>
      <c r="C398" s="6" t="s">
        <v>667</v>
      </c>
      <c r="D398" s="6">
        <v>622</v>
      </c>
      <c r="E398" s="3" t="s">
        <v>63</v>
      </c>
      <c r="F398" s="133">
        <v>37253</v>
      </c>
      <c r="G398" s="3" t="s">
        <v>568</v>
      </c>
    </row>
    <row r="399" spans="1:7" ht="12.75">
      <c r="A399" s="85">
        <v>598.5</v>
      </c>
      <c r="B399" s="85">
        <v>0</v>
      </c>
      <c r="C399" s="6" t="s">
        <v>667</v>
      </c>
      <c r="D399" s="6">
        <v>622</v>
      </c>
      <c r="E399" s="3" t="s">
        <v>199</v>
      </c>
      <c r="F399" s="133">
        <v>38304</v>
      </c>
      <c r="G399" s="3" t="s">
        <v>194</v>
      </c>
    </row>
    <row r="400" spans="1:7" ht="12.75">
      <c r="A400" s="85">
        <v>599.5</v>
      </c>
      <c r="B400" s="85">
        <v>0</v>
      </c>
      <c r="C400" s="6" t="s">
        <v>667</v>
      </c>
      <c r="D400" s="6">
        <v>622</v>
      </c>
      <c r="E400" s="3" t="s">
        <v>200</v>
      </c>
      <c r="F400" s="133">
        <v>38304</v>
      </c>
      <c r="G400" s="3" t="s">
        <v>194</v>
      </c>
    </row>
    <row r="401" spans="1:7" ht="12.75">
      <c r="A401" s="85">
        <f>595+3</f>
        <v>598</v>
      </c>
      <c r="B401" s="85">
        <v>0</v>
      </c>
      <c r="C401" s="6" t="s">
        <v>667</v>
      </c>
      <c r="D401" s="6">
        <v>622</v>
      </c>
      <c r="E401" s="3" t="s">
        <v>64</v>
      </c>
      <c r="F401" s="133">
        <v>37253</v>
      </c>
      <c r="G401" s="3" t="s">
        <v>568</v>
      </c>
    </row>
    <row r="402" spans="1:7" ht="12.75">
      <c r="A402" s="85">
        <f>584+3</f>
        <v>587</v>
      </c>
      <c r="B402" s="85">
        <v>0</v>
      </c>
      <c r="C402" s="6" t="s">
        <v>667</v>
      </c>
      <c r="D402" s="6">
        <v>622</v>
      </c>
      <c r="E402" s="3" t="s">
        <v>34</v>
      </c>
      <c r="F402" s="133">
        <v>37235</v>
      </c>
      <c r="G402" s="3" t="s">
        <v>568</v>
      </c>
    </row>
    <row r="403" spans="1:7" ht="12.75">
      <c r="A403" s="85">
        <f>595+3</f>
        <v>598</v>
      </c>
      <c r="B403" s="85">
        <v>0</v>
      </c>
      <c r="C403" s="6" t="s">
        <v>667</v>
      </c>
      <c r="D403" s="6">
        <v>622</v>
      </c>
      <c r="E403" s="3" t="s">
        <v>65</v>
      </c>
      <c r="F403" s="133">
        <v>37253</v>
      </c>
      <c r="G403" s="3" t="s">
        <v>568</v>
      </c>
    </row>
    <row r="404" spans="1:5" ht="12.75">
      <c r="A404" s="85">
        <v>614</v>
      </c>
      <c r="B404" s="85">
        <v>0</v>
      </c>
      <c r="C404" s="6" t="s">
        <v>667</v>
      </c>
      <c r="D404" s="6">
        <v>622</v>
      </c>
      <c r="E404" s="3" t="s">
        <v>715</v>
      </c>
    </row>
    <row r="405" spans="1:5" ht="12.75">
      <c r="A405" s="85">
        <v>614</v>
      </c>
      <c r="B405" s="85">
        <v>0</v>
      </c>
      <c r="C405" s="6" t="s">
        <v>667</v>
      </c>
      <c r="D405" s="6">
        <v>622</v>
      </c>
      <c r="E405" s="3" t="s">
        <v>716</v>
      </c>
    </row>
    <row r="406" spans="1:7" ht="12.75">
      <c r="A406" s="85">
        <v>612.5</v>
      </c>
      <c r="B406" s="85">
        <v>0</v>
      </c>
      <c r="C406" s="6" t="s">
        <v>667</v>
      </c>
      <c r="D406" s="6">
        <v>622</v>
      </c>
      <c r="E406" s="3" t="s">
        <v>201</v>
      </c>
      <c r="F406" s="133">
        <v>38304</v>
      </c>
      <c r="G406" s="3" t="s">
        <v>194</v>
      </c>
    </row>
    <row r="407" spans="1:7" ht="12.75">
      <c r="A407" s="85">
        <f>610+3</f>
        <v>613</v>
      </c>
      <c r="B407" s="85">
        <v>0</v>
      </c>
      <c r="C407" s="6" t="s">
        <v>667</v>
      </c>
      <c r="D407" s="6">
        <v>622</v>
      </c>
      <c r="E407" s="3" t="s">
        <v>35</v>
      </c>
      <c r="F407" s="133">
        <v>37235</v>
      </c>
      <c r="G407" s="3" t="s">
        <v>568</v>
      </c>
    </row>
    <row r="408" spans="1:7" ht="12.75">
      <c r="A408" s="85">
        <v>607.5</v>
      </c>
      <c r="B408" s="85">
        <v>0</v>
      </c>
      <c r="C408" s="6" t="s">
        <v>667</v>
      </c>
      <c r="D408" s="6">
        <v>622</v>
      </c>
      <c r="E408" s="3" t="s">
        <v>717</v>
      </c>
      <c r="F408" s="133">
        <v>38304</v>
      </c>
      <c r="G408" s="3" t="s">
        <v>194</v>
      </c>
    </row>
    <row r="409" spans="1:5" ht="12.75">
      <c r="A409" s="85">
        <v>607</v>
      </c>
      <c r="B409" s="85">
        <v>0</v>
      </c>
      <c r="C409" s="6" t="s">
        <v>667</v>
      </c>
      <c r="D409" s="6">
        <v>622</v>
      </c>
      <c r="E409" s="3" t="s">
        <v>717</v>
      </c>
    </row>
    <row r="410" spans="1:7" ht="12.75">
      <c r="A410" s="85">
        <v>613</v>
      </c>
      <c r="B410" s="85">
        <v>0</v>
      </c>
      <c r="C410" s="6" t="s">
        <v>667</v>
      </c>
      <c r="D410" s="6">
        <v>622</v>
      </c>
      <c r="E410" s="3" t="s">
        <v>36</v>
      </c>
      <c r="F410" s="133">
        <v>37235</v>
      </c>
      <c r="G410" s="3" t="s">
        <v>568</v>
      </c>
    </row>
    <row r="411" spans="1:5" ht="12.75">
      <c r="A411" s="85">
        <v>611</v>
      </c>
      <c r="B411" s="85">
        <v>0</v>
      </c>
      <c r="C411" s="6" t="s">
        <v>667</v>
      </c>
      <c r="D411" s="6">
        <v>622</v>
      </c>
      <c r="E411" s="3" t="s">
        <v>718</v>
      </c>
    </row>
    <row r="412" spans="1:5" ht="12.75">
      <c r="A412" s="85">
        <v>613</v>
      </c>
      <c r="B412" s="85">
        <v>0</v>
      </c>
      <c r="C412" s="6" t="s">
        <v>667</v>
      </c>
      <c r="D412" s="6">
        <v>622</v>
      </c>
      <c r="E412" s="3" t="s">
        <v>719</v>
      </c>
    </row>
    <row r="413" spans="1:5" ht="12.75">
      <c r="A413" s="85">
        <v>611</v>
      </c>
      <c r="B413" s="85">
        <v>0</v>
      </c>
      <c r="C413" s="6" t="s">
        <v>667</v>
      </c>
      <c r="D413" s="6">
        <v>622</v>
      </c>
      <c r="E413" s="3" t="s">
        <v>720</v>
      </c>
    </row>
    <row r="414" spans="1:5" ht="12.75">
      <c r="A414" s="85">
        <v>613</v>
      </c>
      <c r="B414" s="85">
        <v>0</v>
      </c>
      <c r="C414" s="6" t="s">
        <v>667</v>
      </c>
      <c r="D414" s="6">
        <v>622</v>
      </c>
      <c r="E414" s="3" t="s">
        <v>721</v>
      </c>
    </row>
    <row r="415" spans="1:5" ht="12.75">
      <c r="A415" s="85">
        <v>614</v>
      </c>
      <c r="B415" s="85">
        <v>0</v>
      </c>
      <c r="C415" s="6" t="s">
        <v>667</v>
      </c>
      <c r="D415" s="6">
        <v>622</v>
      </c>
      <c r="E415" s="3" t="s">
        <v>722</v>
      </c>
    </row>
    <row r="416" spans="1:7" ht="12.75">
      <c r="A416" s="85">
        <v>602</v>
      </c>
      <c r="B416" s="85">
        <v>0</v>
      </c>
      <c r="C416" s="6" t="s">
        <v>667</v>
      </c>
      <c r="D416" s="6">
        <v>622</v>
      </c>
      <c r="E416" s="3" t="s">
        <v>723</v>
      </c>
      <c r="F416" s="133">
        <v>38304</v>
      </c>
      <c r="G416" s="3" t="s">
        <v>194</v>
      </c>
    </row>
    <row r="417" spans="1:5" ht="12.75">
      <c r="A417" s="85">
        <v>601</v>
      </c>
      <c r="B417" s="85">
        <v>0</v>
      </c>
      <c r="C417" s="6" t="s">
        <v>667</v>
      </c>
      <c r="D417" s="6">
        <v>622</v>
      </c>
      <c r="E417" s="3" t="s">
        <v>723</v>
      </c>
    </row>
    <row r="418" spans="1:7" ht="12.75">
      <c r="A418" s="85">
        <v>603</v>
      </c>
      <c r="B418" s="85">
        <v>0</v>
      </c>
      <c r="C418" s="6" t="s">
        <v>667</v>
      </c>
      <c r="D418" s="6">
        <v>622</v>
      </c>
      <c r="E418" s="3" t="s">
        <v>724</v>
      </c>
      <c r="F418" s="133">
        <v>38304</v>
      </c>
      <c r="G418" s="3" t="s">
        <v>194</v>
      </c>
    </row>
    <row r="419" spans="1:5" ht="12.75">
      <c r="A419" s="85">
        <v>602</v>
      </c>
      <c r="B419" s="85">
        <v>0</v>
      </c>
      <c r="C419" s="6" t="s">
        <v>667</v>
      </c>
      <c r="D419" s="6">
        <v>622</v>
      </c>
      <c r="E419" s="3" t="s">
        <v>724</v>
      </c>
    </row>
    <row r="420" spans="1:7" ht="12.75">
      <c r="A420" s="85">
        <v>608</v>
      </c>
      <c r="B420" s="85">
        <v>0</v>
      </c>
      <c r="C420" s="6" t="s">
        <v>667</v>
      </c>
      <c r="D420" s="6">
        <v>622</v>
      </c>
      <c r="E420" s="3" t="s">
        <v>876</v>
      </c>
      <c r="F420" s="133">
        <v>37175</v>
      </c>
      <c r="G420" s="3" t="s">
        <v>569</v>
      </c>
    </row>
    <row r="421" spans="1:7" ht="12.75">
      <c r="A421" s="85">
        <f>602+3</f>
        <v>605</v>
      </c>
      <c r="B421" s="85">
        <v>0</v>
      </c>
      <c r="C421" s="6" t="s">
        <v>667</v>
      </c>
      <c r="D421" s="6">
        <v>622</v>
      </c>
      <c r="E421" s="3" t="s">
        <v>61</v>
      </c>
      <c r="F421" s="133">
        <v>37253</v>
      </c>
      <c r="G421" s="3" t="s">
        <v>568</v>
      </c>
    </row>
    <row r="422" spans="1:7" ht="12.75">
      <c r="A422" s="85">
        <f>604+3</f>
        <v>607</v>
      </c>
      <c r="B422" s="85">
        <v>0</v>
      </c>
      <c r="C422" s="6" t="s">
        <v>667</v>
      </c>
      <c r="D422" s="6">
        <v>622</v>
      </c>
      <c r="E422" s="3" t="s">
        <v>37</v>
      </c>
      <c r="F422" s="133">
        <v>37235</v>
      </c>
      <c r="G422" s="3" t="s">
        <v>568</v>
      </c>
    </row>
    <row r="423" spans="1:7" ht="12.75">
      <c r="A423" s="85">
        <f>602+3</f>
        <v>605</v>
      </c>
      <c r="B423" s="85">
        <v>0</v>
      </c>
      <c r="C423" s="6" t="s">
        <v>667</v>
      </c>
      <c r="D423" s="6">
        <v>622</v>
      </c>
      <c r="E423" s="3" t="s">
        <v>39</v>
      </c>
      <c r="F423" s="133">
        <v>37235</v>
      </c>
      <c r="G423" s="3" t="s">
        <v>568</v>
      </c>
    </row>
    <row r="424" spans="1:7" ht="12.75">
      <c r="A424" s="85">
        <f>600+3</f>
        <v>603</v>
      </c>
      <c r="B424" s="85">
        <v>0</v>
      </c>
      <c r="C424" s="6" t="s">
        <v>667</v>
      </c>
      <c r="D424" s="6">
        <v>622</v>
      </c>
      <c r="E424" s="3" t="s">
        <v>66</v>
      </c>
      <c r="F424" s="133">
        <v>37253</v>
      </c>
      <c r="G424" s="3" t="s">
        <v>568</v>
      </c>
    </row>
    <row r="425" spans="1:7" ht="12.75">
      <c r="A425" s="85">
        <f>606+3</f>
        <v>609</v>
      </c>
      <c r="B425" s="85">
        <v>0</v>
      </c>
      <c r="C425" s="6" t="s">
        <v>667</v>
      </c>
      <c r="D425" s="6">
        <v>622</v>
      </c>
      <c r="E425" s="3" t="s">
        <v>67</v>
      </c>
      <c r="F425" s="133">
        <v>37253</v>
      </c>
      <c r="G425" s="3" t="s">
        <v>568</v>
      </c>
    </row>
    <row r="426" spans="1:7" ht="12.75">
      <c r="A426" s="85">
        <f>600+3</f>
        <v>603</v>
      </c>
      <c r="B426" s="85">
        <v>0</v>
      </c>
      <c r="C426" s="6" t="s">
        <v>667</v>
      </c>
      <c r="D426" s="6">
        <v>622</v>
      </c>
      <c r="E426" s="3" t="s">
        <v>40</v>
      </c>
      <c r="F426" s="133">
        <v>37235</v>
      </c>
      <c r="G426" s="3" t="s">
        <v>568</v>
      </c>
    </row>
    <row r="427" spans="1:7" ht="12.75">
      <c r="A427" s="85">
        <f>602.5+3</f>
        <v>605.5</v>
      </c>
      <c r="B427" s="85">
        <v>0</v>
      </c>
      <c r="C427" s="6" t="s">
        <v>667</v>
      </c>
      <c r="D427" s="6">
        <v>622</v>
      </c>
      <c r="E427" s="3" t="s">
        <v>68</v>
      </c>
      <c r="F427" s="133">
        <v>37253</v>
      </c>
      <c r="G427" s="3" t="s">
        <v>568</v>
      </c>
    </row>
    <row r="428" spans="1:7" ht="12.75">
      <c r="A428" s="85">
        <f>600+3</f>
        <v>603</v>
      </c>
      <c r="B428" s="85">
        <v>0</v>
      </c>
      <c r="C428" s="6" t="s">
        <v>667</v>
      </c>
      <c r="D428" s="6">
        <v>622</v>
      </c>
      <c r="E428" s="3" t="s">
        <v>69</v>
      </c>
      <c r="F428" s="133">
        <v>37253</v>
      </c>
      <c r="G428" s="3" t="s">
        <v>568</v>
      </c>
    </row>
    <row r="429" spans="1:7" ht="12.75">
      <c r="A429" s="85">
        <v>604.5</v>
      </c>
      <c r="B429" s="85">
        <v>0</v>
      </c>
      <c r="C429" s="6" t="s">
        <v>667</v>
      </c>
      <c r="D429" s="6">
        <v>622</v>
      </c>
      <c r="E429" s="3" t="s">
        <v>202</v>
      </c>
      <c r="F429" s="133">
        <v>38304</v>
      </c>
      <c r="G429" s="3" t="s">
        <v>194</v>
      </c>
    </row>
    <row r="430" spans="1:7" ht="12.75">
      <c r="A430" s="85">
        <f>603.5+3</f>
        <v>606.5</v>
      </c>
      <c r="B430" s="85">
        <v>0</v>
      </c>
      <c r="C430" s="6" t="s">
        <v>667</v>
      </c>
      <c r="D430" s="6">
        <v>622</v>
      </c>
      <c r="E430" s="3" t="s">
        <v>41</v>
      </c>
      <c r="F430" s="133">
        <v>37235</v>
      </c>
      <c r="G430" s="3" t="s">
        <v>568</v>
      </c>
    </row>
    <row r="431" spans="1:7" ht="12.75">
      <c r="A431" s="85">
        <f>608+3</f>
        <v>611</v>
      </c>
      <c r="B431" s="85">
        <v>0</v>
      </c>
      <c r="C431" s="6" t="s">
        <v>667</v>
      </c>
      <c r="D431" s="6">
        <v>622</v>
      </c>
      <c r="E431" s="3" t="s">
        <v>42</v>
      </c>
      <c r="F431" s="133">
        <v>37235</v>
      </c>
      <c r="G431" s="3" t="s">
        <v>568</v>
      </c>
    </row>
    <row r="432" spans="1:7" ht="12.75">
      <c r="A432" s="85">
        <v>601.5</v>
      </c>
      <c r="B432" s="85">
        <v>0</v>
      </c>
      <c r="C432" s="6" t="s">
        <v>667</v>
      </c>
      <c r="D432" s="6">
        <v>622</v>
      </c>
      <c r="E432" s="3" t="s">
        <v>725</v>
      </c>
      <c r="F432" s="133">
        <v>38304</v>
      </c>
      <c r="G432" s="3" t="s">
        <v>194</v>
      </c>
    </row>
    <row r="433" spans="1:7" ht="12.75">
      <c r="A433" s="85">
        <v>600.5</v>
      </c>
      <c r="B433" s="85">
        <v>0</v>
      </c>
      <c r="C433" s="6" t="s">
        <v>667</v>
      </c>
      <c r="D433" s="6">
        <v>622</v>
      </c>
      <c r="E433" s="3" t="s">
        <v>203</v>
      </c>
      <c r="F433" s="133">
        <v>38304</v>
      </c>
      <c r="G433" s="3" t="s">
        <v>194</v>
      </c>
    </row>
    <row r="434" spans="1:5" ht="12.75">
      <c r="A434" s="85">
        <v>613</v>
      </c>
      <c r="B434" s="85">
        <v>0</v>
      </c>
      <c r="C434" s="6" t="s">
        <v>667</v>
      </c>
      <c r="D434" s="6">
        <v>622</v>
      </c>
      <c r="E434" s="3" t="s">
        <v>726</v>
      </c>
    </row>
    <row r="435" spans="1:7" ht="12.75">
      <c r="A435" s="85">
        <v>612</v>
      </c>
      <c r="B435" s="85">
        <v>0</v>
      </c>
      <c r="C435" s="6" t="s">
        <v>667</v>
      </c>
      <c r="D435" s="6">
        <v>622</v>
      </c>
      <c r="E435" s="3" t="s">
        <v>204</v>
      </c>
      <c r="F435" s="133">
        <v>38035</v>
      </c>
      <c r="G435" s="3" t="s">
        <v>205</v>
      </c>
    </row>
    <row r="436" spans="1:7" ht="12.75">
      <c r="A436" s="85">
        <v>604</v>
      </c>
      <c r="B436" s="85">
        <v>0</v>
      </c>
      <c r="C436" s="6" t="s">
        <v>667</v>
      </c>
      <c r="D436" s="6">
        <v>622</v>
      </c>
      <c r="E436" s="3" t="s">
        <v>1325</v>
      </c>
      <c r="F436" s="133">
        <v>39053</v>
      </c>
      <c r="G436" s="3" t="s">
        <v>1322</v>
      </c>
    </row>
    <row r="437" spans="1:7" ht="12.75">
      <c r="A437" s="85">
        <v>417</v>
      </c>
      <c r="B437" s="85">
        <v>0</v>
      </c>
      <c r="C437" s="6" t="s">
        <v>667</v>
      </c>
      <c r="D437" s="6">
        <v>622</v>
      </c>
      <c r="E437" s="3" t="s">
        <v>1326</v>
      </c>
      <c r="F437" s="133">
        <v>39053</v>
      </c>
      <c r="G437" s="3" t="s">
        <v>1322</v>
      </c>
    </row>
    <row r="438" spans="1:5" ht="12.75">
      <c r="A438" s="85">
        <v>610</v>
      </c>
      <c r="B438" s="85">
        <v>0</v>
      </c>
      <c r="C438" s="6" t="s">
        <v>667</v>
      </c>
      <c r="D438" s="6">
        <v>622</v>
      </c>
      <c r="E438" s="3" t="s">
        <v>727</v>
      </c>
    </row>
    <row r="439" spans="1:5" ht="12.75">
      <c r="A439" s="85">
        <v>612</v>
      </c>
      <c r="B439" s="85">
        <v>0</v>
      </c>
      <c r="C439" s="6" t="s">
        <v>667</v>
      </c>
      <c r="D439" s="6">
        <v>622</v>
      </c>
      <c r="E439" s="3" t="s">
        <v>728</v>
      </c>
    </row>
    <row r="440" spans="1:5" ht="12.75">
      <c r="A440" s="85">
        <v>610</v>
      </c>
      <c r="B440" s="85">
        <v>0</v>
      </c>
      <c r="C440" s="6" t="s">
        <v>667</v>
      </c>
      <c r="D440" s="6">
        <v>622</v>
      </c>
      <c r="E440" s="3" t="s">
        <v>729</v>
      </c>
    </row>
    <row r="441" spans="1:7" ht="12.75">
      <c r="A441" s="85">
        <f>602+3</f>
        <v>605</v>
      </c>
      <c r="B441" s="85">
        <v>0</v>
      </c>
      <c r="C441" s="6" t="s">
        <v>667</v>
      </c>
      <c r="D441" s="6">
        <v>622</v>
      </c>
      <c r="E441" s="3" t="s">
        <v>1619</v>
      </c>
      <c r="F441" s="133">
        <v>37254</v>
      </c>
      <c r="G441" s="3" t="s">
        <v>157</v>
      </c>
    </row>
    <row r="442" spans="1:7" ht="12.75">
      <c r="A442" s="85">
        <f>610.7+3</f>
        <v>613.7</v>
      </c>
      <c r="B442" s="85">
        <v>0</v>
      </c>
      <c r="C442" s="6" t="s">
        <v>667</v>
      </c>
      <c r="D442" s="6">
        <v>622</v>
      </c>
      <c r="E442" s="3" t="s">
        <v>1617</v>
      </c>
      <c r="F442" s="133">
        <v>37254</v>
      </c>
      <c r="G442" s="3" t="s">
        <v>157</v>
      </c>
    </row>
    <row r="443" spans="1:7" ht="12.75">
      <c r="A443" s="85">
        <f>609+3</f>
        <v>612</v>
      </c>
      <c r="B443" s="85">
        <v>0</v>
      </c>
      <c r="C443" s="6" t="s">
        <v>667</v>
      </c>
      <c r="D443" s="6">
        <v>622</v>
      </c>
      <c r="E443" s="3" t="s">
        <v>1620</v>
      </c>
      <c r="F443" s="133">
        <v>37254</v>
      </c>
      <c r="G443" s="3" t="s">
        <v>157</v>
      </c>
    </row>
    <row r="444" spans="1:5" ht="12.75">
      <c r="A444" s="85">
        <v>602</v>
      </c>
      <c r="B444" s="85">
        <v>0</v>
      </c>
      <c r="C444" s="6" t="s">
        <v>667</v>
      </c>
      <c r="D444" s="6">
        <v>622</v>
      </c>
      <c r="E444" s="3" t="s">
        <v>730</v>
      </c>
    </row>
    <row r="445" spans="1:7" ht="12.75">
      <c r="A445" s="85">
        <f>605+3</f>
        <v>608</v>
      </c>
      <c r="B445" s="85">
        <v>0</v>
      </c>
      <c r="C445" s="6" t="s">
        <v>667</v>
      </c>
      <c r="D445" s="6">
        <v>622</v>
      </c>
      <c r="E445" s="3" t="s">
        <v>8</v>
      </c>
      <c r="F445" s="133">
        <v>37254</v>
      </c>
      <c r="G445" s="3" t="s">
        <v>157</v>
      </c>
    </row>
    <row r="446" spans="1:7" ht="12.75">
      <c r="A446" s="85">
        <f>578+3</f>
        <v>581</v>
      </c>
      <c r="B446" s="85">
        <v>0</v>
      </c>
      <c r="C446" s="6" t="s">
        <v>667</v>
      </c>
      <c r="D446" s="6">
        <v>622</v>
      </c>
      <c r="E446" s="3" t="s">
        <v>9</v>
      </c>
      <c r="F446" s="133">
        <v>37254</v>
      </c>
      <c r="G446" s="3" t="s">
        <v>157</v>
      </c>
    </row>
    <row r="447" spans="1:7" ht="12.75">
      <c r="A447" s="85">
        <f>581.34+3</f>
        <v>584.34</v>
      </c>
      <c r="B447" s="85">
        <v>0</v>
      </c>
      <c r="C447" s="6" t="s">
        <v>667</v>
      </c>
      <c r="D447" s="6">
        <v>622</v>
      </c>
      <c r="E447" s="3" t="s">
        <v>1621</v>
      </c>
      <c r="F447" s="133">
        <v>37254</v>
      </c>
      <c r="G447" s="3" t="s">
        <v>157</v>
      </c>
    </row>
    <row r="448" spans="1:7" ht="12.75">
      <c r="A448" s="85">
        <f>592.6+3</f>
        <v>595.6</v>
      </c>
      <c r="B448" s="85">
        <v>0</v>
      </c>
      <c r="C448" s="6" t="s">
        <v>667</v>
      </c>
      <c r="D448" s="6">
        <v>622</v>
      </c>
      <c r="E448" s="3" t="s">
        <v>1623</v>
      </c>
      <c r="F448" s="133">
        <v>37254</v>
      </c>
      <c r="G448" s="3" t="s">
        <v>157</v>
      </c>
    </row>
    <row r="449" spans="1:7" ht="12.75">
      <c r="A449" s="85">
        <f>589.4+3</f>
        <v>592.4</v>
      </c>
      <c r="B449" s="85">
        <v>0</v>
      </c>
      <c r="C449" s="6" t="s">
        <v>667</v>
      </c>
      <c r="D449" s="6">
        <v>622</v>
      </c>
      <c r="E449" s="3" t="s">
        <v>10</v>
      </c>
      <c r="F449" s="133">
        <v>37254</v>
      </c>
      <c r="G449" s="3" t="s">
        <v>157</v>
      </c>
    </row>
    <row r="450" spans="1:7" ht="12.75">
      <c r="A450" s="85">
        <f>605+3</f>
        <v>608</v>
      </c>
      <c r="B450" s="85">
        <v>0</v>
      </c>
      <c r="C450" s="6" t="s">
        <v>667</v>
      </c>
      <c r="D450" s="6">
        <v>622</v>
      </c>
      <c r="E450" s="3" t="s">
        <v>11</v>
      </c>
      <c r="F450" s="133">
        <v>37254</v>
      </c>
      <c r="G450" s="3" t="s">
        <v>157</v>
      </c>
    </row>
    <row r="451" spans="1:5" ht="12.75">
      <c r="A451" s="85">
        <v>606</v>
      </c>
      <c r="B451" s="85">
        <v>0</v>
      </c>
      <c r="C451" s="6" t="s">
        <v>667</v>
      </c>
      <c r="D451" s="6">
        <v>622</v>
      </c>
      <c r="E451" s="3" t="s">
        <v>732</v>
      </c>
    </row>
    <row r="452" spans="1:7" ht="12.75">
      <c r="A452" s="85">
        <f>607.7+3</f>
        <v>610.7</v>
      </c>
      <c r="B452" s="85">
        <v>0</v>
      </c>
      <c r="C452" s="6" t="s">
        <v>667</v>
      </c>
      <c r="D452" s="6">
        <v>622</v>
      </c>
      <c r="E452" s="3" t="s">
        <v>1627</v>
      </c>
      <c r="F452" s="133">
        <v>37254</v>
      </c>
      <c r="G452" s="3" t="s">
        <v>157</v>
      </c>
    </row>
    <row r="453" spans="1:7" ht="12.75">
      <c r="A453" s="85">
        <f>609.5+3</f>
        <v>612.5</v>
      </c>
      <c r="B453" s="85">
        <v>0</v>
      </c>
      <c r="C453" s="6" t="s">
        <v>667</v>
      </c>
      <c r="D453" s="6">
        <v>622</v>
      </c>
      <c r="E453" s="3" t="s">
        <v>1613</v>
      </c>
      <c r="F453" s="133">
        <v>37254</v>
      </c>
      <c r="G453" s="3" t="s">
        <v>157</v>
      </c>
    </row>
    <row r="454" spans="1:7" ht="12.75">
      <c r="A454" s="85">
        <f>609.5+3</f>
        <v>612.5</v>
      </c>
      <c r="B454" s="85">
        <v>0</v>
      </c>
      <c r="C454" s="6" t="s">
        <v>667</v>
      </c>
      <c r="D454" s="6">
        <v>622</v>
      </c>
      <c r="E454" s="3" t="s">
        <v>1614</v>
      </c>
      <c r="F454" s="133">
        <v>37254</v>
      </c>
      <c r="G454" s="3" t="s">
        <v>157</v>
      </c>
    </row>
    <row r="455" spans="1:7" ht="12.75">
      <c r="A455" s="85">
        <f>597.8+3</f>
        <v>600.8</v>
      </c>
      <c r="B455" s="85">
        <v>0</v>
      </c>
      <c r="C455" s="6" t="s">
        <v>667</v>
      </c>
      <c r="D455" s="6">
        <v>622</v>
      </c>
      <c r="E455" s="3" t="s">
        <v>12</v>
      </c>
      <c r="F455" s="133">
        <v>37254</v>
      </c>
      <c r="G455" s="3" t="s">
        <v>157</v>
      </c>
    </row>
    <row r="456" spans="1:7" ht="12.75">
      <c r="A456" s="85">
        <f>592.4</f>
        <v>592.4</v>
      </c>
      <c r="B456" s="85">
        <v>0</v>
      </c>
      <c r="C456" s="6" t="s">
        <v>667</v>
      </c>
      <c r="D456" s="6">
        <v>622</v>
      </c>
      <c r="E456" s="3" t="s">
        <v>1630</v>
      </c>
      <c r="F456" s="133">
        <v>37254</v>
      </c>
      <c r="G456" s="3" t="s">
        <v>157</v>
      </c>
    </row>
    <row r="457" spans="1:7" ht="12.75">
      <c r="A457" s="85">
        <f>607.7+3</f>
        <v>610.7</v>
      </c>
      <c r="B457" s="85">
        <v>0</v>
      </c>
      <c r="C457" s="6" t="s">
        <v>667</v>
      </c>
      <c r="D457" s="6">
        <v>622</v>
      </c>
      <c r="E457" s="3" t="s">
        <v>14</v>
      </c>
      <c r="F457" s="133">
        <v>37254</v>
      </c>
      <c r="G457" s="3" t="s">
        <v>157</v>
      </c>
    </row>
    <row r="458" spans="1:7" ht="12.75">
      <c r="A458" s="85">
        <f>601.8+3</f>
        <v>604.8</v>
      </c>
      <c r="B458" s="85">
        <v>0</v>
      </c>
      <c r="C458" s="6" t="s">
        <v>667</v>
      </c>
      <c r="D458" s="6">
        <v>622</v>
      </c>
      <c r="E458" s="3" t="s">
        <v>1633</v>
      </c>
      <c r="F458" s="133">
        <v>37254</v>
      </c>
      <c r="G458" s="3" t="s">
        <v>157</v>
      </c>
    </row>
    <row r="459" spans="1:5" ht="12.75">
      <c r="A459" s="85">
        <v>612</v>
      </c>
      <c r="B459" s="85">
        <v>0</v>
      </c>
      <c r="C459" s="6" t="s">
        <v>667</v>
      </c>
      <c r="D459" s="6">
        <v>622</v>
      </c>
      <c r="E459" s="3" t="s">
        <v>733</v>
      </c>
    </row>
    <row r="460" spans="1:7" ht="12.75">
      <c r="A460" s="85">
        <f>600+3</f>
        <v>603</v>
      </c>
      <c r="B460" s="85">
        <v>0</v>
      </c>
      <c r="C460" s="6" t="s">
        <v>667</v>
      </c>
      <c r="D460" s="6">
        <v>622</v>
      </c>
      <c r="E460" s="3" t="s">
        <v>15</v>
      </c>
      <c r="F460" s="133">
        <v>37254</v>
      </c>
      <c r="G460" s="3" t="s">
        <v>157</v>
      </c>
    </row>
    <row r="461" spans="1:7" ht="12.75">
      <c r="A461" s="85">
        <f>600+3</f>
        <v>603</v>
      </c>
      <c r="B461" s="85">
        <v>0</v>
      </c>
      <c r="C461" s="6" t="s">
        <v>667</v>
      </c>
      <c r="D461" s="6">
        <v>622</v>
      </c>
      <c r="E461" s="3" t="s">
        <v>18</v>
      </c>
      <c r="F461" s="133">
        <v>37254</v>
      </c>
      <c r="G461" s="3" t="s">
        <v>157</v>
      </c>
    </row>
    <row r="462" spans="1:7" ht="12.75">
      <c r="A462" s="85">
        <f>607.7+3</f>
        <v>610.7</v>
      </c>
      <c r="B462" s="85">
        <v>0</v>
      </c>
      <c r="C462" s="6" t="s">
        <v>667</v>
      </c>
      <c r="D462" s="6">
        <v>622</v>
      </c>
      <c r="E462" s="3" t="s">
        <v>1634</v>
      </c>
      <c r="F462" s="133">
        <v>37254</v>
      </c>
      <c r="G462" s="3" t="s">
        <v>157</v>
      </c>
    </row>
    <row r="463" spans="1:7" ht="12.75">
      <c r="A463" s="85">
        <f>601.3+3</f>
        <v>604.3</v>
      </c>
      <c r="B463" s="85">
        <v>0</v>
      </c>
      <c r="C463" s="6" t="s">
        <v>667</v>
      </c>
      <c r="D463" s="6">
        <v>622</v>
      </c>
      <c r="E463" s="3" t="s">
        <v>19</v>
      </c>
      <c r="F463" s="133">
        <v>37254</v>
      </c>
      <c r="G463" s="3" t="s">
        <v>157</v>
      </c>
    </row>
    <row r="464" spans="1:7" ht="12.75">
      <c r="A464" s="85">
        <f>600+3</f>
        <v>603</v>
      </c>
      <c r="B464" s="85">
        <v>0</v>
      </c>
      <c r="C464" s="6" t="s">
        <v>667</v>
      </c>
      <c r="D464" s="6">
        <v>622</v>
      </c>
      <c r="E464" s="3" t="s">
        <v>20</v>
      </c>
      <c r="F464" s="133">
        <v>37254</v>
      </c>
      <c r="G464" s="3" t="s">
        <v>157</v>
      </c>
    </row>
    <row r="465" spans="1:7" ht="12.75">
      <c r="A465" s="85">
        <f>589.4+3</f>
        <v>592.4</v>
      </c>
      <c r="B465" s="85">
        <v>0</v>
      </c>
      <c r="C465" s="6" t="s">
        <v>667</v>
      </c>
      <c r="D465" s="6">
        <v>622</v>
      </c>
      <c r="E465" s="3" t="s">
        <v>1616</v>
      </c>
      <c r="F465" s="133">
        <v>37254</v>
      </c>
      <c r="G465" s="3" t="s">
        <v>157</v>
      </c>
    </row>
    <row r="466" spans="1:7" ht="12.75">
      <c r="A466" s="85">
        <f>596.84+3</f>
        <v>599.84</v>
      </c>
      <c r="B466" s="85">
        <v>0</v>
      </c>
      <c r="C466" s="6" t="s">
        <v>667</v>
      </c>
      <c r="D466" s="6">
        <v>622</v>
      </c>
      <c r="E466" s="3" t="s">
        <v>21</v>
      </c>
      <c r="F466" s="133">
        <v>37254</v>
      </c>
      <c r="G466" s="3" t="s">
        <v>157</v>
      </c>
    </row>
    <row r="467" spans="1:7" ht="12.75">
      <c r="A467" s="85">
        <f>604+3</f>
        <v>607</v>
      </c>
      <c r="B467" s="85">
        <v>0</v>
      </c>
      <c r="C467" s="6" t="s">
        <v>667</v>
      </c>
      <c r="D467" s="6">
        <v>622</v>
      </c>
      <c r="E467" s="3" t="s">
        <v>5</v>
      </c>
      <c r="F467" s="133">
        <v>37254</v>
      </c>
      <c r="G467" s="3" t="s">
        <v>157</v>
      </c>
    </row>
    <row r="468" spans="1:5" ht="12.75">
      <c r="A468" s="85">
        <v>587</v>
      </c>
      <c r="B468" s="85">
        <v>0</v>
      </c>
      <c r="C468" s="6" t="s">
        <v>667</v>
      </c>
      <c r="D468" s="6">
        <v>622</v>
      </c>
      <c r="E468" s="3" t="s">
        <v>1264</v>
      </c>
    </row>
    <row r="469" spans="1:7" ht="12.75">
      <c r="A469" s="85">
        <f aca="true" t="shared" si="0" ref="A469:A474">599+3</f>
        <v>602</v>
      </c>
      <c r="B469" s="85">
        <v>0</v>
      </c>
      <c r="C469" s="6" t="s">
        <v>667</v>
      </c>
      <c r="D469" s="6">
        <v>622</v>
      </c>
      <c r="E469" s="3" t="s">
        <v>206</v>
      </c>
      <c r="F469" s="133">
        <v>38063</v>
      </c>
      <c r="G469" s="3" t="s">
        <v>207</v>
      </c>
    </row>
    <row r="470" spans="1:7" ht="12.75">
      <c r="A470" s="85">
        <f t="shared" si="0"/>
        <v>602</v>
      </c>
      <c r="B470" s="85">
        <v>2.5</v>
      </c>
      <c r="C470" s="6" t="s">
        <v>667</v>
      </c>
      <c r="D470" s="6">
        <v>622</v>
      </c>
      <c r="E470" s="3" t="s">
        <v>208</v>
      </c>
      <c r="F470" s="133">
        <v>38063</v>
      </c>
      <c r="G470" s="3" t="s">
        <v>207</v>
      </c>
    </row>
    <row r="471" spans="1:7" ht="12.75">
      <c r="A471" s="85">
        <f t="shared" si="0"/>
        <v>602</v>
      </c>
      <c r="B471" s="85">
        <v>0</v>
      </c>
      <c r="C471" s="6" t="s">
        <v>667</v>
      </c>
      <c r="D471" s="6">
        <v>622</v>
      </c>
      <c r="E471" s="3" t="s">
        <v>335</v>
      </c>
      <c r="F471" s="133">
        <v>38063</v>
      </c>
      <c r="G471" s="3" t="s">
        <v>207</v>
      </c>
    </row>
    <row r="472" spans="1:7" ht="12.75">
      <c r="A472" s="85">
        <f t="shared" si="0"/>
        <v>602</v>
      </c>
      <c r="B472" s="85">
        <v>2.5</v>
      </c>
      <c r="C472" s="6" t="s">
        <v>667</v>
      </c>
      <c r="D472" s="6">
        <v>622</v>
      </c>
      <c r="E472" s="3" t="s">
        <v>336</v>
      </c>
      <c r="F472" s="133">
        <v>38063</v>
      </c>
      <c r="G472" s="3" t="s">
        <v>207</v>
      </c>
    </row>
    <row r="473" spans="1:7" ht="12.75">
      <c r="A473" s="85">
        <f t="shared" si="0"/>
        <v>602</v>
      </c>
      <c r="B473" s="85">
        <v>0</v>
      </c>
      <c r="C473" s="6" t="s">
        <v>667</v>
      </c>
      <c r="D473" s="6">
        <v>622</v>
      </c>
      <c r="E473" s="3" t="s">
        <v>337</v>
      </c>
      <c r="F473" s="133">
        <v>38063</v>
      </c>
      <c r="G473" s="3" t="s">
        <v>207</v>
      </c>
    </row>
    <row r="474" spans="1:7" ht="12.75">
      <c r="A474" s="85">
        <f t="shared" si="0"/>
        <v>602</v>
      </c>
      <c r="B474" s="85">
        <v>2.5</v>
      </c>
      <c r="C474" s="6" t="s">
        <v>667</v>
      </c>
      <c r="D474" s="6">
        <v>622</v>
      </c>
      <c r="E474" s="3" t="s">
        <v>339</v>
      </c>
      <c r="F474" s="133">
        <v>38063</v>
      </c>
      <c r="G474" s="3" t="s">
        <v>207</v>
      </c>
    </row>
    <row r="475" spans="1:5" ht="12.75">
      <c r="A475" s="85">
        <v>610</v>
      </c>
      <c r="B475" s="85">
        <v>0</v>
      </c>
      <c r="C475" s="6" t="s">
        <v>667</v>
      </c>
      <c r="D475" s="6">
        <v>622</v>
      </c>
      <c r="E475" s="3" t="s">
        <v>1265</v>
      </c>
    </row>
    <row r="476" spans="1:5" ht="12.75">
      <c r="A476" s="85">
        <v>610</v>
      </c>
      <c r="B476" s="85">
        <v>0</v>
      </c>
      <c r="C476" s="6" t="s">
        <v>667</v>
      </c>
      <c r="D476" s="6">
        <v>622</v>
      </c>
      <c r="E476" s="3" t="s">
        <v>1266</v>
      </c>
    </row>
    <row r="477" spans="1:5" ht="12.75">
      <c r="A477" s="85">
        <v>610</v>
      </c>
      <c r="B477" s="85">
        <v>0</v>
      </c>
      <c r="C477" s="6" t="s">
        <v>667</v>
      </c>
      <c r="D477" s="6">
        <v>622</v>
      </c>
      <c r="E477" s="3" t="s">
        <v>1267</v>
      </c>
    </row>
    <row r="478" spans="1:5" ht="12.75">
      <c r="A478" s="85">
        <f>602+3</f>
        <v>605</v>
      </c>
      <c r="B478" s="85">
        <v>0</v>
      </c>
      <c r="C478" s="6" t="s">
        <v>667</v>
      </c>
      <c r="D478" s="6">
        <v>622</v>
      </c>
      <c r="E478" s="3" t="s">
        <v>1612</v>
      </c>
    </row>
    <row r="479" spans="1:7" ht="12.75">
      <c r="A479" s="85">
        <v>596</v>
      </c>
      <c r="B479" s="85">
        <v>0</v>
      </c>
      <c r="C479" s="6" t="s">
        <v>667</v>
      </c>
      <c r="D479" s="6">
        <v>622</v>
      </c>
      <c r="E479" s="3" t="s">
        <v>209</v>
      </c>
      <c r="F479" s="133">
        <v>38063</v>
      </c>
      <c r="G479" s="3" t="s">
        <v>207</v>
      </c>
    </row>
    <row r="480" spans="1:7" ht="12.75">
      <c r="A480" s="85">
        <v>594</v>
      </c>
      <c r="B480" s="85">
        <v>2.5</v>
      </c>
      <c r="C480" s="6" t="s">
        <v>667</v>
      </c>
      <c r="D480" s="6">
        <v>622</v>
      </c>
      <c r="E480" s="3" t="s">
        <v>210</v>
      </c>
      <c r="F480" s="133">
        <v>38063</v>
      </c>
      <c r="G480" s="3" t="s">
        <v>207</v>
      </c>
    </row>
    <row r="481" spans="1:5" ht="12.75">
      <c r="A481" s="85">
        <v>611</v>
      </c>
      <c r="B481" s="85">
        <v>0</v>
      </c>
      <c r="C481" s="6" t="s">
        <v>667</v>
      </c>
      <c r="D481" s="6">
        <v>622</v>
      </c>
      <c r="E481" s="3" t="s">
        <v>734</v>
      </c>
    </row>
    <row r="482" spans="1:5" ht="12.75">
      <c r="A482" s="85">
        <v>612</v>
      </c>
      <c r="B482" s="85">
        <v>0</v>
      </c>
      <c r="C482" s="6" t="s">
        <v>667</v>
      </c>
      <c r="D482" s="6">
        <v>622</v>
      </c>
      <c r="E482" s="3" t="s">
        <v>735</v>
      </c>
    </row>
    <row r="483" spans="1:7" ht="12.75">
      <c r="A483" s="85">
        <f>592+3</f>
        <v>595</v>
      </c>
      <c r="B483" s="85">
        <v>0</v>
      </c>
      <c r="C483" s="6" t="s">
        <v>667</v>
      </c>
      <c r="D483" s="6">
        <v>622</v>
      </c>
      <c r="E483" s="3" t="s">
        <v>179</v>
      </c>
      <c r="F483" s="133">
        <v>37462</v>
      </c>
      <c r="G483" s="3" t="s">
        <v>158</v>
      </c>
    </row>
    <row r="484" spans="1:7" ht="12.75">
      <c r="A484" s="85">
        <f>592+3</f>
        <v>595</v>
      </c>
      <c r="B484" s="85">
        <v>0</v>
      </c>
      <c r="C484" s="6" t="s">
        <v>667</v>
      </c>
      <c r="D484" s="6">
        <v>622</v>
      </c>
      <c r="E484" s="3" t="s">
        <v>1025</v>
      </c>
      <c r="F484" s="133">
        <v>37322</v>
      </c>
      <c r="G484" s="3" t="s">
        <v>158</v>
      </c>
    </row>
    <row r="485" spans="1:7" ht="12.75">
      <c r="A485" s="85">
        <v>580</v>
      </c>
      <c r="B485" s="85">
        <v>0</v>
      </c>
      <c r="C485" s="6" t="s">
        <v>667</v>
      </c>
      <c r="D485" s="6">
        <v>622</v>
      </c>
      <c r="E485" s="3" t="s">
        <v>274</v>
      </c>
      <c r="F485" s="133">
        <v>37361</v>
      </c>
      <c r="G485" s="3" t="s">
        <v>158</v>
      </c>
    </row>
    <row r="486" spans="1:7" ht="12.75">
      <c r="A486" s="85">
        <v>604.1</v>
      </c>
      <c r="B486" s="85">
        <v>0</v>
      </c>
      <c r="C486" s="6" t="s">
        <v>667</v>
      </c>
      <c r="D486" s="6">
        <v>622</v>
      </c>
      <c r="E486" s="3" t="s">
        <v>171</v>
      </c>
      <c r="F486" s="133">
        <v>37322</v>
      </c>
      <c r="G486" s="3" t="s">
        <v>158</v>
      </c>
    </row>
    <row r="487" spans="1:7" ht="12.75">
      <c r="A487" s="85">
        <v>598</v>
      </c>
      <c r="B487" s="85">
        <v>0</v>
      </c>
      <c r="C487" s="6" t="s">
        <v>667</v>
      </c>
      <c r="D487" s="6">
        <v>622</v>
      </c>
      <c r="E487" s="3" t="s">
        <v>172</v>
      </c>
      <c r="F487" s="133">
        <v>37322</v>
      </c>
      <c r="G487" s="3" t="s">
        <v>158</v>
      </c>
    </row>
    <row r="488" spans="1:7" ht="12.75">
      <c r="A488" s="85">
        <v>604</v>
      </c>
      <c r="B488" s="85">
        <v>0</v>
      </c>
      <c r="C488" s="6" t="s">
        <v>667</v>
      </c>
      <c r="D488" s="6">
        <v>622</v>
      </c>
      <c r="E488" s="3" t="s">
        <v>860</v>
      </c>
      <c r="F488" s="133">
        <v>38148</v>
      </c>
      <c r="G488" s="95" t="s">
        <v>857</v>
      </c>
    </row>
    <row r="489" spans="1:5" ht="12.75">
      <c r="A489" s="85">
        <v>614</v>
      </c>
      <c r="B489" s="85">
        <v>0</v>
      </c>
      <c r="C489" s="6" t="s">
        <v>667</v>
      </c>
      <c r="D489" s="6">
        <v>622</v>
      </c>
      <c r="E489" s="3" t="s">
        <v>1268</v>
      </c>
    </row>
    <row r="490" spans="1:5" ht="12.75">
      <c r="A490" s="85">
        <v>614</v>
      </c>
      <c r="B490" s="85">
        <v>0</v>
      </c>
      <c r="C490" s="6" t="s">
        <v>667</v>
      </c>
      <c r="D490" s="6">
        <v>622</v>
      </c>
      <c r="E490" s="3" t="s">
        <v>1269</v>
      </c>
    </row>
    <row r="491" spans="1:5" ht="12.75">
      <c r="A491" s="85">
        <v>614</v>
      </c>
      <c r="B491" s="85">
        <v>0</v>
      </c>
      <c r="C491" s="6" t="s">
        <v>667</v>
      </c>
      <c r="D491" s="6">
        <v>622</v>
      </c>
      <c r="E491" s="3" t="s">
        <v>1336</v>
      </c>
    </row>
    <row r="492" spans="1:5" ht="12.75">
      <c r="A492" s="85">
        <v>614</v>
      </c>
      <c r="B492" s="85">
        <v>0</v>
      </c>
      <c r="C492" s="6" t="s">
        <v>667</v>
      </c>
      <c r="D492" s="6">
        <v>622</v>
      </c>
      <c r="E492" s="3" t="s">
        <v>1337</v>
      </c>
    </row>
    <row r="493" spans="1:5" ht="12.75">
      <c r="A493" s="85">
        <v>607</v>
      </c>
      <c r="B493" s="85">
        <v>0</v>
      </c>
      <c r="C493" s="6" t="s">
        <v>667</v>
      </c>
      <c r="D493" s="6">
        <v>622</v>
      </c>
      <c r="E493" s="3" t="s">
        <v>736</v>
      </c>
    </row>
    <row r="494" spans="1:5" ht="12.75">
      <c r="A494" s="85">
        <v>603</v>
      </c>
      <c r="B494" s="85">
        <v>0</v>
      </c>
      <c r="C494" s="6" t="s">
        <v>667</v>
      </c>
      <c r="D494" s="6">
        <v>622</v>
      </c>
      <c r="E494" s="3" t="s">
        <v>737</v>
      </c>
    </row>
    <row r="495" spans="1:5" ht="12.75">
      <c r="A495" s="85">
        <v>612</v>
      </c>
      <c r="B495" s="85">
        <v>0</v>
      </c>
      <c r="C495" s="6" t="s">
        <v>667</v>
      </c>
      <c r="D495" s="6">
        <v>622</v>
      </c>
      <c r="E495" s="3" t="s">
        <v>738</v>
      </c>
    </row>
    <row r="496" spans="1:5" ht="12.75">
      <c r="A496" s="85">
        <v>528</v>
      </c>
      <c r="B496" s="85">
        <v>0</v>
      </c>
      <c r="C496" s="6" t="s">
        <v>667</v>
      </c>
      <c r="D496" s="6">
        <v>622</v>
      </c>
      <c r="E496" s="3" t="s">
        <v>739</v>
      </c>
    </row>
    <row r="497" spans="1:5" ht="12.75">
      <c r="A497" s="85">
        <v>610</v>
      </c>
      <c r="B497" s="85">
        <v>0</v>
      </c>
      <c r="C497" s="6" t="s">
        <v>667</v>
      </c>
      <c r="D497" s="6">
        <v>622</v>
      </c>
      <c r="E497" s="3" t="s">
        <v>740</v>
      </c>
    </row>
    <row r="498" spans="1:5" ht="12.75">
      <c r="A498" s="85">
        <v>607</v>
      </c>
      <c r="B498" s="85">
        <v>0</v>
      </c>
      <c r="C498" s="6" t="s">
        <v>667</v>
      </c>
      <c r="D498" s="6">
        <v>622</v>
      </c>
      <c r="E498" s="3" t="s">
        <v>741</v>
      </c>
    </row>
    <row r="499" spans="1:7" ht="12.75">
      <c r="A499" s="85">
        <v>612</v>
      </c>
      <c r="B499" s="85">
        <v>0</v>
      </c>
      <c r="C499" s="6" t="s">
        <v>667</v>
      </c>
      <c r="D499" s="6">
        <v>622</v>
      </c>
      <c r="E499" s="3" t="s">
        <v>148</v>
      </c>
      <c r="G499" s="3" t="s">
        <v>149</v>
      </c>
    </row>
    <row r="500" spans="1:5" ht="12.75">
      <c r="A500" s="85">
        <v>608</v>
      </c>
      <c r="B500" s="85">
        <v>0</v>
      </c>
      <c r="C500" s="6" t="s">
        <v>667</v>
      </c>
      <c r="D500" s="6">
        <v>622</v>
      </c>
      <c r="E500" s="3" t="s">
        <v>742</v>
      </c>
    </row>
    <row r="501" spans="1:5" ht="12.75">
      <c r="A501" s="85">
        <v>609</v>
      </c>
      <c r="B501" s="85">
        <v>0</v>
      </c>
      <c r="C501" s="6" t="s">
        <v>667</v>
      </c>
      <c r="D501" s="6">
        <v>622</v>
      </c>
      <c r="E501" s="3" t="s">
        <v>1017</v>
      </c>
    </row>
    <row r="502" spans="1:5" ht="12.75">
      <c r="A502" s="85">
        <v>609</v>
      </c>
      <c r="B502" s="85">
        <v>0</v>
      </c>
      <c r="C502" s="6" t="s">
        <v>667</v>
      </c>
      <c r="D502" s="6">
        <v>622</v>
      </c>
      <c r="E502" s="3" t="s">
        <v>1019</v>
      </c>
    </row>
    <row r="503" spans="1:5" ht="12.75">
      <c r="A503" s="85">
        <v>611</v>
      </c>
      <c r="B503" s="85">
        <v>0</v>
      </c>
      <c r="C503" s="6" t="s">
        <v>667</v>
      </c>
      <c r="D503" s="6">
        <v>622</v>
      </c>
      <c r="E503" s="3" t="s">
        <v>744</v>
      </c>
    </row>
    <row r="504" spans="1:5" ht="12.75">
      <c r="A504" s="85">
        <v>612</v>
      </c>
      <c r="B504" s="85">
        <v>0</v>
      </c>
      <c r="C504" s="6" t="s">
        <v>667</v>
      </c>
      <c r="D504" s="6">
        <v>622</v>
      </c>
      <c r="E504" s="3" t="s">
        <v>745</v>
      </c>
    </row>
    <row r="505" spans="1:5" ht="12.75">
      <c r="A505" s="85">
        <v>612</v>
      </c>
      <c r="B505" s="85">
        <v>0</v>
      </c>
      <c r="C505" s="6" t="s">
        <v>667</v>
      </c>
      <c r="D505" s="6">
        <v>622</v>
      </c>
      <c r="E505" s="3" t="s">
        <v>746</v>
      </c>
    </row>
    <row r="506" spans="1:5" ht="12.75">
      <c r="A506" s="85">
        <v>612</v>
      </c>
      <c r="B506" s="85">
        <v>0</v>
      </c>
      <c r="C506" s="6" t="s">
        <v>667</v>
      </c>
      <c r="D506" s="6">
        <v>622</v>
      </c>
      <c r="E506" s="3" t="s">
        <v>747</v>
      </c>
    </row>
    <row r="507" spans="1:5" ht="12.75">
      <c r="A507" s="85">
        <v>612</v>
      </c>
      <c r="B507" s="85">
        <v>0</v>
      </c>
      <c r="C507" s="6" t="s">
        <v>667</v>
      </c>
      <c r="D507" s="6">
        <v>622</v>
      </c>
      <c r="E507" s="3" t="s">
        <v>1024</v>
      </c>
    </row>
    <row r="508" spans="1:5" ht="12.75">
      <c r="A508" s="85">
        <v>610</v>
      </c>
      <c r="B508" s="85">
        <v>0</v>
      </c>
      <c r="C508" s="6" t="s">
        <v>667</v>
      </c>
      <c r="D508" s="6">
        <v>622</v>
      </c>
      <c r="E508" s="3" t="s">
        <v>749</v>
      </c>
    </row>
    <row r="509" spans="1:5" ht="12.75">
      <c r="A509" s="85">
        <v>610</v>
      </c>
      <c r="B509" s="85">
        <v>0</v>
      </c>
      <c r="C509" s="6" t="s">
        <v>667</v>
      </c>
      <c r="D509" s="6">
        <v>622</v>
      </c>
      <c r="E509" s="3" t="s">
        <v>750</v>
      </c>
    </row>
    <row r="510" spans="1:5" ht="12.75">
      <c r="A510" s="85">
        <v>612</v>
      </c>
      <c r="B510" s="85">
        <v>0</v>
      </c>
      <c r="C510" s="6" t="s">
        <v>667</v>
      </c>
      <c r="D510" s="6">
        <v>622</v>
      </c>
      <c r="E510" s="3" t="s">
        <v>751</v>
      </c>
    </row>
    <row r="511" spans="1:5" ht="12.75">
      <c r="A511" s="85">
        <v>603</v>
      </c>
      <c r="B511" s="85">
        <v>0</v>
      </c>
      <c r="C511" s="6" t="s">
        <v>667</v>
      </c>
      <c r="D511" s="6">
        <v>622</v>
      </c>
      <c r="E511" s="3" t="s">
        <v>752</v>
      </c>
    </row>
    <row r="512" spans="1:5" ht="12.75">
      <c r="A512" s="85">
        <v>606</v>
      </c>
      <c r="B512" s="85">
        <v>0</v>
      </c>
      <c r="C512" s="6" t="s">
        <v>667</v>
      </c>
      <c r="D512" s="6">
        <v>622</v>
      </c>
      <c r="E512" s="3" t="s">
        <v>753</v>
      </c>
    </row>
    <row r="513" spans="1:5" ht="12.75">
      <c r="A513" s="85">
        <v>612</v>
      </c>
      <c r="B513" s="85">
        <v>0</v>
      </c>
      <c r="C513" s="6" t="s">
        <v>667</v>
      </c>
      <c r="D513" s="6">
        <v>622</v>
      </c>
      <c r="E513" s="3" t="s">
        <v>754</v>
      </c>
    </row>
    <row r="514" spans="1:5" ht="12.75">
      <c r="A514" s="85">
        <v>611</v>
      </c>
      <c r="B514" s="85">
        <v>0</v>
      </c>
      <c r="C514" s="6" t="s">
        <v>667</v>
      </c>
      <c r="D514" s="6">
        <v>622</v>
      </c>
      <c r="E514" s="3" t="s">
        <v>755</v>
      </c>
    </row>
    <row r="515" spans="1:5" ht="12.75">
      <c r="A515" s="85">
        <v>612</v>
      </c>
      <c r="B515" s="85">
        <v>0</v>
      </c>
      <c r="C515" s="6" t="s">
        <v>667</v>
      </c>
      <c r="D515" s="6">
        <v>622</v>
      </c>
      <c r="E515" s="3" t="s">
        <v>756</v>
      </c>
    </row>
    <row r="516" spans="1:5" ht="12.75">
      <c r="A516" s="85">
        <v>612</v>
      </c>
      <c r="B516" s="85">
        <v>0</v>
      </c>
      <c r="C516" s="6" t="s">
        <v>667</v>
      </c>
      <c r="D516" s="6">
        <v>622</v>
      </c>
      <c r="E516" s="3" t="s">
        <v>1026</v>
      </c>
    </row>
    <row r="517" spans="1:5" ht="12.75">
      <c r="A517" s="85">
        <v>612</v>
      </c>
      <c r="B517" s="85">
        <v>0</v>
      </c>
      <c r="C517" s="6" t="s">
        <v>667</v>
      </c>
      <c r="D517" s="6">
        <v>622</v>
      </c>
      <c r="E517" s="3" t="s">
        <v>757</v>
      </c>
    </row>
    <row r="518" spans="1:5" ht="12.75">
      <c r="A518" s="85">
        <v>601</v>
      </c>
      <c r="B518" s="85">
        <v>0</v>
      </c>
      <c r="C518" s="6" t="s">
        <v>667</v>
      </c>
      <c r="D518" s="6">
        <v>622</v>
      </c>
      <c r="E518" s="3" t="s">
        <v>758</v>
      </c>
    </row>
    <row r="519" spans="1:5" ht="12.75">
      <c r="A519" s="85">
        <v>603</v>
      </c>
      <c r="B519" s="85">
        <v>0</v>
      </c>
      <c r="C519" s="6" t="s">
        <v>667</v>
      </c>
      <c r="D519" s="6">
        <v>622</v>
      </c>
      <c r="E519" s="3" t="s">
        <v>759</v>
      </c>
    </row>
    <row r="520" spans="1:5" ht="12.75">
      <c r="A520" s="85">
        <v>612</v>
      </c>
      <c r="B520" s="85">
        <v>0</v>
      </c>
      <c r="C520" s="6" t="s">
        <v>667</v>
      </c>
      <c r="D520" s="6">
        <v>622</v>
      </c>
      <c r="E520" s="3" t="s">
        <v>760</v>
      </c>
    </row>
    <row r="521" spans="1:5" ht="12.75">
      <c r="A521" s="85">
        <v>603</v>
      </c>
      <c r="B521" s="85">
        <v>0</v>
      </c>
      <c r="C521" s="6" t="s">
        <v>667</v>
      </c>
      <c r="D521" s="6">
        <v>622</v>
      </c>
      <c r="E521" s="3" t="s">
        <v>761</v>
      </c>
    </row>
    <row r="522" spans="1:5" ht="12.75">
      <c r="A522" s="85">
        <v>592</v>
      </c>
      <c r="B522" s="85">
        <v>0</v>
      </c>
      <c r="C522" s="6" t="s">
        <v>667</v>
      </c>
      <c r="D522" s="6">
        <v>622</v>
      </c>
      <c r="E522" s="3" t="s">
        <v>762</v>
      </c>
    </row>
    <row r="523" spans="1:7" ht="12.75">
      <c r="A523" s="85">
        <v>606</v>
      </c>
      <c r="B523" s="85">
        <v>0</v>
      </c>
      <c r="C523" s="6" t="s">
        <v>667</v>
      </c>
      <c r="D523" s="6">
        <v>622</v>
      </c>
      <c r="E523" s="3" t="s">
        <v>272</v>
      </c>
      <c r="G523" s="3" t="s">
        <v>271</v>
      </c>
    </row>
    <row r="524" spans="1:7" ht="12.75">
      <c r="A524" s="85">
        <v>611</v>
      </c>
      <c r="B524" s="85">
        <v>0</v>
      </c>
      <c r="C524" s="6" t="s">
        <v>667</v>
      </c>
      <c r="D524" s="6">
        <v>622</v>
      </c>
      <c r="E524" s="3" t="s">
        <v>958</v>
      </c>
      <c r="F524" s="133">
        <v>37349</v>
      </c>
      <c r="G524" s="3" t="s">
        <v>959</v>
      </c>
    </row>
    <row r="525" spans="1:5" ht="12.75">
      <c r="A525" s="85">
        <v>596</v>
      </c>
      <c r="B525" s="85">
        <v>0</v>
      </c>
      <c r="C525" s="6" t="s">
        <v>667</v>
      </c>
      <c r="D525" s="6">
        <v>622</v>
      </c>
      <c r="E525" s="3" t="s">
        <v>763</v>
      </c>
    </row>
    <row r="526" spans="1:5" ht="12.75">
      <c r="A526" s="85">
        <v>602</v>
      </c>
      <c r="B526" s="85">
        <v>0</v>
      </c>
      <c r="C526" s="6" t="s">
        <v>667</v>
      </c>
      <c r="D526" s="6">
        <v>622</v>
      </c>
      <c r="E526" s="3" t="s">
        <v>764</v>
      </c>
    </row>
    <row r="527" spans="1:5" ht="12.75">
      <c r="A527" s="85">
        <v>598</v>
      </c>
      <c r="B527" s="85">
        <v>0</v>
      </c>
      <c r="C527" s="6" t="s">
        <v>667</v>
      </c>
      <c r="D527" s="6">
        <v>622</v>
      </c>
      <c r="E527" s="3" t="s">
        <v>765</v>
      </c>
    </row>
    <row r="528" spans="1:7" ht="12.75">
      <c r="A528" s="85">
        <v>598</v>
      </c>
      <c r="B528" s="85">
        <v>4</v>
      </c>
      <c r="C528" s="6" t="s">
        <v>667</v>
      </c>
      <c r="D528" s="6">
        <v>622</v>
      </c>
      <c r="E528" s="3" t="s">
        <v>16</v>
      </c>
      <c r="F528" s="133">
        <v>37831</v>
      </c>
      <c r="G528" s="95" t="s">
        <v>17</v>
      </c>
    </row>
    <row r="529" spans="1:5" ht="12.75">
      <c r="A529" s="85">
        <v>582</v>
      </c>
      <c r="B529" s="85">
        <v>0</v>
      </c>
      <c r="C529" s="6" t="s">
        <v>667</v>
      </c>
      <c r="D529" s="6">
        <v>622</v>
      </c>
      <c r="E529" s="3" t="s">
        <v>766</v>
      </c>
    </row>
    <row r="530" spans="1:5" ht="12.75">
      <c r="A530" s="85">
        <v>596</v>
      </c>
      <c r="B530" s="85">
        <v>0</v>
      </c>
      <c r="C530" s="6" t="s">
        <v>667</v>
      </c>
      <c r="D530" s="6">
        <v>622</v>
      </c>
      <c r="E530" s="3" t="s">
        <v>767</v>
      </c>
    </row>
    <row r="531" spans="1:7" ht="12.75">
      <c r="A531" s="85">
        <v>591</v>
      </c>
      <c r="B531" s="85">
        <v>0</v>
      </c>
      <c r="C531" s="6" t="s">
        <v>667</v>
      </c>
      <c r="D531" s="6">
        <v>622</v>
      </c>
      <c r="E531" s="3" t="s">
        <v>610</v>
      </c>
      <c r="F531" s="133">
        <v>37517</v>
      </c>
      <c r="G531" s="3" t="s">
        <v>158</v>
      </c>
    </row>
    <row r="532" spans="1:5" ht="12.75">
      <c r="A532" s="85">
        <v>612</v>
      </c>
      <c r="B532" s="85">
        <v>0</v>
      </c>
      <c r="C532" s="6" t="s">
        <v>667</v>
      </c>
      <c r="D532" s="6">
        <v>622</v>
      </c>
      <c r="E532" s="3" t="s">
        <v>768</v>
      </c>
    </row>
    <row r="533" spans="1:5" ht="12.75">
      <c r="A533" s="85">
        <v>607</v>
      </c>
      <c r="B533" s="85">
        <v>0</v>
      </c>
      <c r="C533" s="6" t="s">
        <v>667</v>
      </c>
      <c r="D533" s="6">
        <v>622</v>
      </c>
      <c r="E533" s="3" t="s">
        <v>769</v>
      </c>
    </row>
    <row r="534" spans="1:5" ht="12.75">
      <c r="A534" s="85">
        <v>611</v>
      </c>
      <c r="B534" s="85">
        <v>0</v>
      </c>
      <c r="C534" s="6" t="s">
        <v>667</v>
      </c>
      <c r="D534" s="6">
        <v>622</v>
      </c>
      <c r="E534" s="3" t="s">
        <v>770</v>
      </c>
    </row>
    <row r="535" spans="1:7" ht="12.75">
      <c r="A535" s="85">
        <v>585</v>
      </c>
      <c r="B535" s="85">
        <v>0</v>
      </c>
      <c r="C535" s="6" t="s">
        <v>667</v>
      </c>
      <c r="D535" s="6">
        <v>622</v>
      </c>
      <c r="E535" s="3" t="s">
        <v>1446</v>
      </c>
      <c r="F535" s="133">
        <v>37315</v>
      </c>
      <c r="G535" s="3" t="s">
        <v>586</v>
      </c>
    </row>
    <row r="536" spans="1:7" ht="12.75">
      <c r="A536" s="85">
        <v>595.9</v>
      </c>
      <c r="B536" s="85">
        <v>0</v>
      </c>
      <c r="C536" s="6" t="s">
        <v>667</v>
      </c>
      <c r="D536" s="6">
        <v>622</v>
      </c>
      <c r="E536" s="3" t="s">
        <v>183</v>
      </c>
      <c r="F536" s="133">
        <v>37089</v>
      </c>
      <c r="G536" s="3" t="s">
        <v>181</v>
      </c>
    </row>
    <row r="537" spans="1:7" ht="12.75">
      <c r="A537" s="85">
        <v>599.3</v>
      </c>
      <c r="B537" s="85">
        <v>0</v>
      </c>
      <c r="C537" s="6" t="s">
        <v>667</v>
      </c>
      <c r="D537" s="6">
        <v>622</v>
      </c>
      <c r="E537" s="3" t="s">
        <v>260</v>
      </c>
      <c r="F537" s="133">
        <v>37089</v>
      </c>
      <c r="G537" s="3" t="s">
        <v>181</v>
      </c>
    </row>
    <row r="538" spans="1:7" ht="12.75">
      <c r="A538" s="85">
        <v>607</v>
      </c>
      <c r="B538" s="85">
        <v>0</v>
      </c>
      <c r="C538" s="6" t="s">
        <v>667</v>
      </c>
      <c r="D538" s="6">
        <v>622</v>
      </c>
      <c r="E538" s="3" t="s">
        <v>1445</v>
      </c>
      <c r="F538" s="133">
        <v>37315</v>
      </c>
      <c r="G538" s="3" t="s">
        <v>586</v>
      </c>
    </row>
    <row r="539" spans="1:5" ht="12.75">
      <c r="A539" s="85">
        <v>619</v>
      </c>
      <c r="B539" s="85">
        <v>0</v>
      </c>
      <c r="C539" s="6" t="s">
        <v>667</v>
      </c>
      <c r="D539" s="6">
        <v>622</v>
      </c>
      <c r="E539" s="3" t="s">
        <v>771</v>
      </c>
    </row>
    <row r="540" spans="1:5" ht="12.75">
      <c r="A540" s="85">
        <v>609</v>
      </c>
      <c r="B540" s="85">
        <v>0</v>
      </c>
      <c r="C540" s="6" t="s">
        <v>667</v>
      </c>
      <c r="D540" s="6">
        <v>622</v>
      </c>
      <c r="E540" s="3" t="s">
        <v>772</v>
      </c>
    </row>
    <row r="541" spans="1:5" ht="12.75">
      <c r="A541" s="85">
        <v>602</v>
      </c>
      <c r="B541" s="85">
        <v>0</v>
      </c>
      <c r="C541" s="6" t="s">
        <v>667</v>
      </c>
      <c r="D541" s="6">
        <v>622</v>
      </c>
      <c r="E541" s="3" t="s">
        <v>773</v>
      </c>
    </row>
    <row r="542" spans="1:5" ht="12.75">
      <c r="A542" s="85">
        <v>613</v>
      </c>
      <c r="B542" s="85">
        <v>0</v>
      </c>
      <c r="C542" s="6" t="s">
        <v>667</v>
      </c>
      <c r="D542" s="6">
        <v>622</v>
      </c>
      <c r="E542" s="3" t="s">
        <v>774</v>
      </c>
    </row>
    <row r="543" spans="1:5" ht="12.75">
      <c r="A543" s="85">
        <v>614</v>
      </c>
      <c r="B543" s="85">
        <v>0</v>
      </c>
      <c r="C543" s="6" t="s">
        <v>667</v>
      </c>
      <c r="D543" s="6">
        <v>622</v>
      </c>
      <c r="E543" s="3" t="s">
        <v>1239</v>
      </c>
    </row>
    <row r="544" spans="1:5" ht="12.75">
      <c r="A544" s="85">
        <v>614</v>
      </c>
      <c r="B544" s="85">
        <v>0</v>
      </c>
      <c r="C544" s="6" t="s">
        <v>667</v>
      </c>
      <c r="D544" s="6">
        <v>622</v>
      </c>
      <c r="E544" s="3" t="s">
        <v>1240</v>
      </c>
    </row>
    <row r="545" spans="1:5" ht="12.75">
      <c r="A545" s="85">
        <v>615</v>
      </c>
      <c r="B545" s="85">
        <v>0</v>
      </c>
      <c r="C545" s="6" t="s">
        <v>667</v>
      </c>
      <c r="D545" s="6">
        <v>622</v>
      </c>
      <c r="E545" s="3" t="s">
        <v>1241</v>
      </c>
    </row>
    <row r="546" spans="1:5" ht="12.75">
      <c r="A546" s="85">
        <v>615</v>
      </c>
      <c r="B546" s="85">
        <v>0</v>
      </c>
      <c r="C546" s="6" t="s">
        <v>667</v>
      </c>
      <c r="D546" s="6">
        <v>622</v>
      </c>
      <c r="E546" s="3" t="s">
        <v>1242</v>
      </c>
    </row>
    <row r="547" spans="1:5" ht="12.75">
      <c r="A547" s="85">
        <v>614</v>
      </c>
      <c r="B547" s="85">
        <v>0</v>
      </c>
      <c r="C547" s="6" t="s">
        <v>667</v>
      </c>
      <c r="D547" s="6">
        <v>622</v>
      </c>
      <c r="E547" s="3" t="s">
        <v>775</v>
      </c>
    </row>
    <row r="548" spans="1:7" ht="12.75">
      <c r="A548" s="85">
        <v>606</v>
      </c>
      <c r="B548" s="85">
        <v>0</v>
      </c>
      <c r="C548" s="6" t="s">
        <v>667</v>
      </c>
      <c r="D548" s="6">
        <v>622</v>
      </c>
      <c r="E548" s="89" t="s">
        <v>1585</v>
      </c>
      <c r="F548" s="133">
        <v>37424</v>
      </c>
      <c r="G548" s="3" t="s">
        <v>1586</v>
      </c>
    </row>
    <row r="549" spans="1:5" ht="12.75">
      <c r="A549" s="85">
        <v>605</v>
      </c>
      <c r="B549" s="85">
        <v>0</v>
      </c>
      <c r="C549" s="6" t="s">
        <v>667</v>
      </c>
      <c r="D549" s="6">
        <v>622</v>
      </c>
      <c r="E549" s="3" t="s">
        <v>776</v>
      </c>
    </row>
    <row r="550" spans="1:5" ht="12.75">
      <c r="A550" s="85">
        <v>584</v>
      </c>
      <c r="B550" s="85">
        <v>0</v>
      </c>
      <c r="C550" s="6" t="s">
        <v>667</v>
      </c>
      <c r="D550" s="6">
        <v>622</v>
      </c>
      <c r="E550" s="3" t="s">
        <v>777</v>
      </c>
    </row>
    <row r="551" spans="1:7" ht="12.75">
      <c r="A551" s="85">
        <v>567</v>
      </c>
      <c r="B551" s="85">
        <v>0</v>
      </c>
      <c r="C551" s="6" t="s">
        <v>667</v>
      </c>
      <c r="D551" s="6">
        <v>622</v>
      </c>
      <c r="E551" s="3" t="s">
        <v>839</v>
      </c>
      <c r="F551" s="137">
        <v>38661</v>
      </c>
      <c r="G551" s="95" t="s">
        <v>834</v>
      </c>
    </row>
    <row r="552" spans="1:7" ht="12.75">
      <c r="A552" s="85">
        <v>477</v>
      </c>
      <c r="B552" s="85">
        <v>0</v>
      </c>
      <c r="C552" s="6" t="s">
        <v>667</v>
      </c>
      <c r="D552" s="6">
        <v>622</v>
      </c>
      <c r="E552" s="3" t="s">
        <v>846</v>
      </c>
      <c r="F552" s="137">
        <v>38661</v>
      </c>
      <c r="G552" s="95" t="s">
        <v>834</v>
      </c>
    </row>
    <row r="553" spans="1:7" ht="12.75">
      <c r="A553" s="85">
        <v>529</v>
      </c>
      <c r="B553" s="85">
        <v>0</v>
      </c>
      <c r="C553" s="6" t="s">
        <v>667</v>
      </c>
      <c r="D553" s="6">
        <v>622</v>
      </c>
      <c r="E553" s="3" t="s">
        <v>844</v>
      </c>
      <c r="F553" s="137">
        <v>38661</v>
      </c>
      <c r="G553" s="95" t="s">
        <v>834</v>
      </c>
    </row>
    <row r="554" spans="1:5" ht="12.75">
      <c r="A554" s="85">
        <v>528</v>
      </c>
      <c r="B554" s="85">
        <v>0</v>
      </c>
      <c r="C554" s="6" t="s">
        <v>667</v>
      </c>
      <c r="D554" s="6">
        <v>622</v>
      </c>
      <c r="E554" s="3" t="s">
        <v>840</v>
      </c>
    </row>
    <row r="555" spans="1:7" ht="12.75">
      <c r="A555" s="85">
        <f>578+3</f>
        <v>581</v>
      </c>
      <c r="B555" s="85">
        <v>0</v>
      </c>
      <c r="C555" s="6" t="s">
        <v>175</v>
      </c>
      <c r="D555" s="6">
        <v>590</v>
      </c>
      <c r="E555" s="3" t="s">
        <v>1617</v>
      </c>
      <c r="F555" s="133">
        <v>37254</v>
      </c>
      <c r="G555" s="3" t="s">
        <v>157</v>
      </c>
    </row>
    <row r="556" spans="1:7" ht="12.75">
      <c r="A556" s="85">
        <f>494+3</f>
        <v>497</v>
      </c>
      <c r="B556" s="85">
        <v>0</v>
      </c>
      <c r="C556" s="6" t="s">
        <v>175</v>
      </c>
      <c r="D556" s="6">
        <v>590</v>
      </c>
      <c r="E556" s="3" t="s">
        <v>1620</v>
      </c>
      <c r="F556" s="133">
        <v>37254</v>
      </c>
      <c r="G556" s="3" t="s">
        <v>157</v>
      </c>
    </row>
    <row r="557" spans="1:5" ht="12.75">
      <c r="A557" s="85">
        <v>582</v>
      </c>
      <c r="B557" s="85">
        <v>0</v>
      </c>
      <c r="C557" s="6" t="s">
        <v>914</v>
      </c>
      <c r="D557" s="6">
        <v>590</v>
      </c>
      <c r="E557" s="3" t="s">
        <v>915</v>
      </c>
    </row>
    <row r="558" spans="1:5" ht="12.75">
      <c r="A558" s="85">
        <v>576</v>
      </c>
      <c r="B558" s="85">
        <v>0</v>
      </c>
      <c r="C558" s="6" t="s">
        <v>914</v>
      </c>
      <c r="D558" s="6">
        <v>590</v>
      </c>
      <c r="E558" s="3" t="s">
        <v>742</v>
      </c>
    </row>
    <row r="559" spans="1:5" ht="12.75">
      <c r="A559" s="85">
        <v>578</v>
      </c>
      <c r="B559" s="85">
        <v>0</v>
      </c>
      <c r="C559" s="6" t="s">
        <v>914</v>
      </c>
      <c r="D559" s="6">
        <v>590</v>
      </c>
      <c r="E559" s="3" t="s">
        <v>747</v>
      </c>
    </row>
    <row r="560" spans="1:5" ht="12.75">
      <c r="A560" s="85">
        <v>570</v>
      </c>
      <c r="B560" s="85">
        <v>0</v>
      </c>
      <c r="C560" s="6" t="s">
        <v>914</v>
      </c>
      <c r="D560" s="6">
        <v>590</v>
      </c>
      <c r="E560" s="3" t="s">
        <v>752</v>
      </c>
    </row>
    <row r="561" spans="1:5" ht="12.75">
      <c r="A561" s="85">
        <v>579</v>
      </c>
      <c r="B561" s="85">
        <v>0</v>
      </c>
      <c r="C561" s="6" t="s">
        <v>914</v>
      </c>
      <c r="D561" s="6">
        <v>590</v>
      </c>
      <c r="E561" s="3" t="s">
        <v>916</v>
      </c>
    </row>
    <row r="562" spans="1:5" ht="12.75">
      <c r="A562" s="85">
        <v>572</v>
      </c>
      <c r="B562" s="85">
        <v>0</v>
      </c>
      <c r="C562" s="6" t="s">
        <v>176</v>
      </c>
      <c r="D562" s="6">
        <v>584</v>
      </c>
      <c r="E562" s="3" t="s">
        <v>888</v>
      </c>
    </row>
    <row r="563" spans="1:7" ht="12.75">
      <c r="A563" s="85">
        <f>570.5+3</f>
        <v>573.5</v>
      </c>
      <c r="B563" s="85">
        <v>0</v>
      </c>
      <c r="C563" s="6" t="s">
        <v>176</v>
      </c>
      <c r="D563" s="6">
        <v>584</v>
      </c>
      <c r="E563" s="3" t="s">
        <v>1620</v>
      </c>
      <c r="F563" s="133">
        <v>37254</v>
      </c>
      <c r="G563" s="3" t="s">
        <v>157</v>
      </c>
    </row>
    <row r="564" spans="1:5" ht="12.75">
      <c r="A564" s="85">
        <v>574</v>
      </c>
      <c r="B564" s="85">
        <v>0</v>
      </c>
      <c r="C564" s="6" t="s">
        <v>176</v>
      </c>
      <c r="D564" s="6">
        <v>584</v>
      </c>
      <c r="E564" s="3" t="s">
        <v>889</v>
      </c>
    </row>
    <row r="565" spans="1:7" ht="12.75">
      <c r="A565" s="85">
        <v>543</v>
      </c>
      <c r="B565" s="85">
        <v>0</v>
      </c>
      <c r="C565" s="6" t="s">
        <v>871</v>
      </c>
      <c r="D565" s="6">
        <v>622</v>
      </c>
      <c r="E565" s="3" t="s">
        <v>1293</v>
      </c>
      <c r="F565" s="137">
        <v>39041</v>
      </c>
      <c r="G565" s="3" t="s">
        <v>1289</v>
      </c>
    </row>
    <row r="566" spans="1:5" ht="12.75">
      <c r="A566" s="85">
        <v>482</v>
      </c>
      <c r="B566" s="85">
        <v>0</v>
      </c>
      <c r="C566" s="6" t="s">
        <v>871</v>
      </c>
      <c r="D566" s="6">
        <v>571</v>
      </c>
      <c r="E566" s="3" t="s">
        <v>676</v>
      </c>
    </row>
    <row r="567" spans="1:7" ht="12.75">
      <c r="A567" s="85">
        <f>600.3+571-622</f>
        <v>549.3</v>
      </c>
      <c r="B567" s="85">
        <v>0</v>
      </c>
      <c r="C567" s="6" t="s">
        <v>871</v>
      </c>
      <c r="D567" s="6">
        <v>571</v>
      </c>
      <c r="E567" s="3" t="s">
        <v>1174</v>
      </c>
      <c r="F567" s="133">
        <v>37255</v>
      </c>
      <c r="G567" s="3" t="s">
        <v>1091</v>
      </c>
    </row>
    <row r="568" spans="1:7" ht="12.75">
      <c r="A568" s="85">
        <v>547.2</v>
      </c>
      <c r="B568" s="85">
        <v>0</v>
      </c>
      <c r="C568" s="6" t="s">
        <v>871</v>
      </c>
      <c r="D568" s="6">
        <v>571</v>
      </c>
      <c r="E568" s="3" t="s">
        <v>1160</v>
      </c>
      <c r="F568" s="133">
        <v>37255</v>
      </c>
      <c r="G568" s="3" t="s">
        <v>1091</v>
      </c>
    </row>
    <row r="569" spans="1:7" ht="12.75">
      <c r="A569" s="85">
        <v>529</v>
      </c>
      <c r="B569" s="85">
        <v>0</v>
      </c>
      <c r="C569" s="6" t="s">
        <v>871</v>
      </c>
      <c r="D569" s="6">
        <v>571</v>
      </c>
      <c r="E569" s="3" t="s">
        <v>1157</v>
      </c>
      <c r="F569" s="133">
        <v>37255</v>
      </c>
      <c r="G569" s="3" t="s">
        <v>1091</v>
      </c>
    </row>
    <row r="570" spans="1:7" ht="12.75">
      <c r="A570" s="85">
        <v>534</v>
      </c>
      <c r="B570" s="85">
        <v>0</v>
      </c>
      <c r="C570" s="6" t="s">
        <v>871</v>
      </c>
      <c r="D570" s="6">
        <v>571</v>
      </c>
      <c r="E570" s="3" t="s">
        <v>1407</v>
      </c>
      <c r="F570" s="133">
        <v>37609</v>
      </c>
      <c r="G570" s="3" t="s">
        <v>158</v>
      </c>
    </row>
    <row r="571" spans="1:7" ht="12.75">
      <c r="A571" s="85">
        <f>543+3</f>
        <v>546</v>
      </c>
      <c r="B571" s="85">
        <v>0</v>
      </c>
      <c r="C571" s="6" t="s">
        <v>871</v>
      </c>
      <c r="D571" s="6">
        <v>571</v>
      </c>
      <c r="E571" s="3" t="s">
        <v>155</v>
      </c>
      <c r="F571" s="133">
        <v>37337</v>
      </c>
      <c r="G571" s="3" t="s">
        <v>158</v>
      </c>
    </row>
    <row r="572" spans="1:7" ht="12.75">
      <c r="A572" s="85">
        <f>544+3</f>
        <v>547</v>
      </c>
      <c r="B572" s="85">
        <v>0</v>
      </c>
      <c r="C572" s="6" t="s">
        <v>871</v>
      </c>
      <c r="D572" s="6">
        <v>571</v>
      </c>
      <c r="E572" s="3" t="s">
        <v>156</v>
      </c>
      <c r="F572" s="133">
        <v>37337</v>
      </c>
      <c r="G572" s="3" t="s">
        <v>158</v>
      </c>
    </row>
    <row r="573" spans="1:7" ht="12.75">
      <c r="A573" s="85">
        <f>525+2*(9+2)</f>
        <v>547</v>
      </c>
      <c r="B573" s="85">
        <v>0</v>
      </c>
      <c r="C573" s="6" t="s">
        <v>871</v>
      </c>
      <c r="D573" s="6">
        <v>571</v>
      </c>
      <c r="E573" s="96" t="s">
        <v>1565</v>
      </c>
      <c r="F573" s="133">
        <v>37777</v>
      </c>
      <c r="G573" s="3" t="s">
        <v>586</v>
      </c>
    </row>
    <row r="574" spans="1:5" ht="12.75">
      <c r="A574" s="85">
        <v>555</v>
      </c>
      <c r="B574" s="85">
        <v>0</v>
      </c>
      <c r="C574" s="6" t="s">
        <v>871</v>
      </c>
      <c r="D574" s="6">
        <v>571</v>
      </c>
      <c r="E574" s="3" t="s">
        <v>872</v>
      </c>
    </row>
    <row r="575" spans="1:5" ht="12.75">
      <c r="A575" s="85">
        <v>556</v>
      </c>
      <c r="B575" s="85">
        <v>0</v>
      </c>
      <c r="C575" s="6" t="s">
        <v>871</v>
      </c>
      <c r="D575" s="6">
        <v>571</v>
      </c>
      <c r="E575" s="3" t="s">
        <v>873</v>
      </c>
    </row>
    <row r="576" spans="1:5" ht="12.75">
      <c r="A576" s="85">
        <v>511</v>
      </c>
      <c r="B576" s="85">
        <v>0</v>
      </c>
      <c r="C576" s="6" t="s">
        <v>871</v>
      </c>
      <c r="D576" s="6">
        <v>571</v>
      </c>
      <c r="E576" s="3" t="s">
        <v>690</v>
      </c>
    </row>
    <row r="577" spans="1:5" ht="12.75">
      <c r="A577" s="85">
        <v>525</v>
      </c>
      <c r="B577" s="85">
        <v>0</v>
      </c>
      <c r="C577" s="6" t="s">
        <v>871</v>
      </c>
      <c r="D577" s="6">
        <v>571</v>
      </c>
      <c r="E577" s="3" t="s">
        <v>874</v>
      </c>
    </row>
    <row r="578" spans="1:7" ht="12.75">
      <c r="A578" s="85">
        <f>546+3</f>
        <v>549</v>
      </c>
      <c r="B578" s="85">
        <v>0</v>
      </c>
      <c r="C578" s="6" t="s">
        <v>871</v>
      </c>
      <c r="D578" s="6">
        <v>571</v>
      </c>
      <c r="E578" s="3" t="s">
        <v>29</v>
      </c>
      <c r="F578" s="133">
        <v>37235</v>
      </c>
      <c r="G578" s="3" t="s">
        <v>568</v>
      </c>
    </row>
    <row r="579" spans="1:7" ht="12.75">
      <c r="A579" s="85">
        <v>539.5</v>
      </c>
      <c r="B579" s="85">
        <v>0</v>
      </c>
      <c r="C579" s="6" t="s">
        <v>871</v>
      </c>
      <c r="D579" s="6">
        <v>571</v>
      </c>
      <c r="E579" s="3" t="s">
        <v>33</v>
      </c>
      <c r="F579" s="133">
        <v>38304</v>
      </c>
      <c r="G579" s="3" t="s">
        <v>194</v>
      </c>
    </row>
    <row r="580" spans="1:7" ht="12.75">
      <c r="A580" s="85">
        <f>537+3</f>
        <v>540</v>
      </c>
      <c r="B580" s="85">
        <v>0</v>
      </c>
      <c r="C580" s="6" t="s">
        <v>871</v>
      </c>
      <c r="D580" s="6">
        <v>571</v>
      </c>
      <c r="E580" s="3" t="s">
        <v>30</v>
      </c>
      <c r="F580" s="133">
        <v>37253</v>
      </c>
      <c r="G580" s="3" t="s">
        <v>568</v>
      </c>
    </row>
    <row r="581" spans="1:7" ht="12.75">
      <c r="A581" s="85">
        <f>533+3</f>
        <v>536</v>
      </c>
      <c r="B581" s="85">
        <v>0</v>
      </c>
      <c r="C581" s="6" t="s">
        <v>871</v>
      </c>
      <c r="D581" s="6">
        <v>571</v>
      </c>
      <c r="E581" s="3" t="s">
        <v>30</v>
      </c>
      <c r="F581" s="133">
        <v>37235</v>
      </c>
      <c r="G581" s="3" t="s">
        <v>568</v>
      </c>
    </row>
    <row r="582" spans="1:7" ht="12.75">
      <c r="A582" s="85">
        <f>547+3</f>
        <v>550</v>
      </c>
      <c r="B582" s="85">
        <v>0</v>
      </c>
      <c r="C582" s="6" t="s">
        <v>871</v>
      </c>
      <c r="D582" s="6">
        <v>571</v>
      </c>
      <c r="E582" s="3" t="s">
        <v>60</v>
      </c>
      <c r="F582" s="133">
        <v>37253</v>
      </c>
      <c r="G582" s="3" t="s">
        <v>568</v>
      </c>
    </row>
    <row r="583" spans="1:5" ht="12.75">
      <c r="A583" s="85">
        <v>559</v>
      </c>
      <c r="B583" s="85">
        <v>0</v>
      </c>
      <c r="C583" s="6" t="s">
        <v>871</v>
      </c>
      <c r="D583" s="6">
        <v>571</v>
      </c>
      <c r="E583" s="3" t="s">
        <v>875</v>
      </c>
    </row>
    <row r="584" spans="1:5" ht="12.75">
      <c r="A584" s="85">
        <v>554</v>
      </c>
      <c r="B584" s="85">
        <v>0</v>
      </c>
      <c r="C584" s="6" t="s">
        <v>871</v>
      </c>
      <c r="D584" s="6">
        <v>571</v>
      </c>
      <c r="E584" s="3" t="s">
        <v>876</v>
      </c>
    </row>
    <row r="585" spans="1:7" ht="12.75">
      <c r="A585" s="85">
        <f>551+3</f>
        <v>554</v>
      </c>
      <c r="B585" s="85">
        <v>0</v>
      </c>
      <c r="C585" s="6" t="s">
        <v>871</v>
      </c>
      <c r="D585" s="6">
        <v>571</v>
      </c>
      <c r="E585" s="3" t="s">
        <v>61</v>
      </c>
      <c r="F585" s="133">
        <v>37253</v>
      </c>
      <c r="G585" s="3" t="s">
        <v>568</v>
      </c>
    </row>
    <row r="586" spans="1:7" ht="12.75">
      <c r="A586" s="85">
        <f>527.7+3</f>
        <v>530.7</v>
      </c>
      <c r="B586" s="85">
        <v>0</v>
      </c>
      <c r="C586" s="6" t="s">
        <v>871</v>
      </c>
      <c r="D586" s="6">
        <v>571</v>
      </c>
      <c r="E586" s="3" t="s">
        <v>731</v>
      </c>
      <c r="F586" s="133">
        <v>37254</v>
      </c>
      <c r="G586" s="3" t="s">
        <v>157</v>
      </c>
    </row>
    <row r="587" spans="1:7" ht="12.75">
      <c r="A587" s="85">
        <f>548.7+3</f>
        <v>551.7</v>
      </c>
      <c r="B587" s="85">
        <v>0</v>
      </c>
      <c r="C587" s="6" t="s">
        <v>871</v>
      </c>
      <c r="D587" s="6">
        <v>571</v>
      </c>
      <c r="E587" s="3" t="s">
        <v>7</v>
      </c>
      <c r="F587" s="133">
        <v>37254</v>
      </c>
      <c r="G587" s="3" t="s">
        <v>157</v>
      </c>
    </row>
    <row r="588" spans="1:7" ht="12.75">
      <c r="A588" s="85">
        <v>551.7</v>
      </c>
      <c r="B588" s="85">
        <v>0</v>
      </c>
      <c r="C588" s="6" t="s">
        <v>871</v>
      </c>
      <c r="D588" s="6">
        <v>571</v>
      </c>
      <c r="E588" s="3" t="s">
        <v>170</v>
      </c>
      <c r="F588" s="133">
        <v>37318</v>
      </c>
      <c r="G588" s="3" t="s">
        <v>158</v>
      </c>
    </row>
    <row r="589" spans="1:7" ht="12.75">
      <c r="A589" s="85">
        <v>546</v>
      </c>
      <c r="B589" s="85">
        <v>0</v>
      </c>
      <c r="C589" s="6" t="s">
        <v>871</v>
      </c>
      <c r="D589" s="6">
        <v>571</v>
      </c>
      <c r="E589" s="3" t="s">
        <v>172</v>
      </c>
      <c r="F589" s="133">
        <v>38905</v>
      </c>
      <c r="G589" s="3" t="s">
        <v>158</v>
      </c>
    </row>
    <row r="590" spans="1:5" ht="12.75">
      <c r="A590" s="85">
        <v>552</v>
      </c>
      <c r="B590" s="85">
        <v>0</v>
      </c>
      <c r="C590" s="6" t="s">
        <v>871</v>
      </c>
      <c r="D590" s="6">
        <v>571</v>
      </c>
      <c r="E590" s="3" t="s">
        <v>737</v>
      </c>
    </row>
    <row r="591" spans="1:5" ht="12.75">
      <c r="A591" s="85">
        <v>560</v>
      </c>
      <c r="B591" s="85">
        <v>0</v>
      </c>
      <c r="C591" s="6" t="s">
        <v>871</v>
      </c>
      <c r="D591" s="6">
        <v>571</v>
      </c>
      <c r="E591" s="3" t="s">
        <v>750</v>
      </c>
    </row>
    <row r="592" spans="1:5" ht="12.75">
      <c r="A592" s="85">
        <v>561</v>
      </c>
      <c r="B592" s="85">
        <v>0</v>
      </c>
      <c r="C592" s="6" t="s">
        <v>871</v>
      </c>
      <c r="D592" s="6">
        <v>571</v>
      </c>
      <c r="E592" s="3" t="s">
        <v>751</v>
      </c>
    </row>
    <row r="593" spans="1:5" ht="12.75">
      <c r="A593" s="85">
        <v>552</v>
      </c>
      <c r="B593" s="85">
        <v>0</v>
      </c>
      <c r="C593" s="6" t="s">
        <v>871</v>
      </c>
      <c r="D593" s="6">
        <v>571</v>
      </c>
      <c r="E593" s="3" t="s">
        <v>752</v>
      </c>
    </row>
    <row r="594" spans="1:5" ht="12.75">
      <c r="A594" s="85">
        <v>549</v>
      </c>
      <c r="B594" s="85">
        <v>0</v>
      </c>
      <c r="C594" s="6" t="s">
        <v>871</v>
      </c>
      <c r="D594" s="6">
        <v>571</v>
      </c>
      <c r="E594" s="3" t="s">
        <v>758</v>
      </c>
    </row>
    <row r="595" spans="1:5" ht="12.75">
      <c r="A595" s="85">
        <v>540</v>
      </c>
      <c r="B595" s="85">
        <v>0</v>
      </c>
      <c r="C595" s="6" t="s">
        <v>871</v>
      </c>
      <c r="D595" s="6">
        <v>571</v>
      </c>
      <c r="E595" s="3" t="s">
        <v>762</v>
      </c>
    </row>
    <row r="596" spans="1:7" ht="12.75">
      <c r="A596" s="85">
        <v>558</v>
      </c>
      <c r="B596" s="85">
        <v>0</v>
      </c>
      <c r="C596" s="6" t="s">
        <v>871</v>
      </c>
      <c r="D596" s="6">
        <v>571</v>
      </c>
      <c r="E596" s="3" t="s">
        <v>1270</v>
      </c>
      <c r="F596" s="137">
        <v>39053</v>
      </c>
      <c r="G596" s="3" t="s">
        <v>158</v>
      </c>
    </row>
    <row r="597" spans="1:5" ht="12.75">
      <c r="A597" s="85">
        <v>554</v>
      </c>
      <c r="B597" s="85">
        <v>0</v>
      </c>
      <c r="C597" s="6" t="s">
        <v>871</v>
      </c>
      <c r="D597" s="6">
        <v>571</v>
      </c>
      <c r="E597" s="3" t="s">
        <v>877</v>
      </c>
    </row>
    <row r="598" spans="1:5" ht="12.75">
      <c r="A598" s="85">
        <v>531</v>
      </c>
      <c r="B598" s="85">
        <v>0</v>
      </c>
      <c r="C598" s="6" t="s">
        <v>871</v>
      </c>
      <c r="D598" s="6">
        <v>571</v>
      </c>
      <c r="E598" s="3" t="s">
        <v>766</v>
      </c>
    </row>
    <row r="599" spans="1:5" ht="12.75">
      <c r="A599" s="85">
        <v>556</v>
      </c>
      <c r="B599" s="85">
        <v>0</v>
      </c>
      <c r="C599" s="6" t="s">
        <v>871</v>
      </c>
      <c r="D599" s="6">
        <v>571</v>
      </c>
      <c r="E599" s="3" t="s">
        <v>878</v>
      </c>
    </row>
    <row r="600" spans="1:7" ht="12.75">
      <c r="A600" s="85">
        <v>518</v>
      </c>
      <c r="B600" s="85">
        <v>0</v>
      </c>
      <c r="C600" s="6" t="s">
        <v>871</v>
      </c>
      <c r="D600" s="6">
        <v>571</v>
      </c>
      <c r="E600" s="3" t="s">
        <v>837</v>
      </c>
      <c r="F600" s="137">
        <v>38661</v>
      </c>
      <c r="G600" s="95" t="s">
        <v>834</v>
      </c>
    </row>
    <row r="601" spans="1:7" ht="12.75">
      <c r="A601" s="85">
        <v>477</v>
      </c>
      <c r="B601" s="85">
        <v>0</v>
      </c>
      <c r="C601" s="6" t="s">
        <v>871</v>
      </c>
      <c r="D601" s="6">
        <v>571</v>
      </c>
      <c r="E601" s="3" t="s">
        <v>843</v>
      </c>
      <c r="F601" s="137">
        <v>38661</v>
      </c>
      <c r="G601" s="95" t="s">
        <v>834</v>
      </c>
    </row>
    <row r="602" spans="1:5" ht="12.75">
      <c r="A602" s="85">
        <v>482</v>
      </c>
      <c r="B602" s="85">
        <v>0</v>
      </c>
      <c r="C602" s="6" t="s">
        <v>871</v>
      </c>
      <c r="D602" s="6">
        <v>571</v>
      </c>
      <c r="E602" s="3" t="s">
        <v>838</v>
      </c>
    </row>
    <row r="603" spans="1:7" ht="12.75">
      <c r="A603" s="85">
        <v>553</v>
      </c>
      <c r="B603" s="85">
        <v>0</v>
      </c>
      <c r="C603" s="6" t="s">
        <v>917</v>
      </c>
      <c r="D603" s="6">
        <v>559</v>
      </c>
      <c r="E603" s="3" t="s">
        <v>211</v>
      </c>
      <c r="F603" s="133">
        <v>38304</v>
      </c>
      <c r="G603" s="3" t="s">
        <v>212</v>
      </c>
    </row>
    <row r="604" spans="1:7" ht="12.75">
      <c r="A604" s="85">
        <f>537.1+1.5</f>
        <v>538.6</v>
      </c>
      <c r="B604" s="85">
        <v>0</v>
      </c>
      <c r="C604" s="6" t="s">
        <v>917</v>
      </c>
      <c r="D604" s="6">
        <v>559</v>
      </c>
      <c r="E604" s="3" t="s">
        <v>1090</v>
      </c>
      <c r="F604" s="133">
        <v>37255</v>
      </c>
      <c r="G604" s="3" t="s">
        <v>1091</v>
      </c>
    </row>
    <row r="605" spans="1:7" ht="12.75">
      <c r="A605" s="85">
        <f>547.8+1.5</f>
        <v>549.3</v>
      </c>
      <c r="B605" s="85">
        <v>0</v>
      </c>
      <c r="C605" s="6" t="s">
        <v>917</v>
      </c>
      <c r="D605" s="6">
        <v>559</v>
      </c>
      <c r="E605" s="3" t="s">
        <v>1103</v>
      </c>
      <c r="F605" s="133">
        <v>37255</v>
      </c>
      <c r="G605" s="3" t="s">
        <v>1091</v>
      </c>
    </row>
    <row r="606" spans="1:7" ht="12.75">
      <c r="A606" s="85">
        <f>497.2+1.5</f>
        <v>498.7</v>
      </c>
      <c r="B606" s="85">
        <v>0</v>
      </c>
      <c r="C606" s="6" t="s">
        <v>917</v>
      </c>
      <c r="D606" s="6">
        <v>559</v>
      </c>
      <c r="E606" s="3" t="s">
        <v>1101</v>
      </c>
      <c r="F606" s="133">
        <v>37255</v>
      </c>
      <c r="G606" s="3" t="s">
        <v>1091</v>
      </c>
    </row>
    <row r="607" spans="1:5" ht="12.75">
      <c r="A607" s="85">
        <v>547</v>
      </c>
      <c r="B607" s="85">
        <v>0</v>
      </c>
      <c r="C607" s="6" t="s">
        <v>917</v>
      </c>
      <c r="D607" s="6">
        <v>559</v>
      </c>
      <c r="E607" s="3" t="s">
        <v>1092</v>
      </c>
    </row>
    <row r="608" spans="1:5" ht="12.75">
      <c r="A608" s="85">
        <v>547</v>
      </c>
      <c r="B608" s="85">
        <v>0</v>
      </c>
      <c r="C608" s="6" t="s">
        <v>917</v>
      </c>
      <c r="D608" s="6">
        <v>559</v>
      </c>
      <c r="E608" s="3" t="s">
        <v>1093</v>
      </c>
    </row>
    <row r="609" spans="1:5" ht="12.75">
      <c r="A609" s="85">
        <v>547</v>
      </c>
      <c r="B609" s="85">
        <v>0</v>
      </c>
      <c r="C609" s="6" t="s">
        <v>917</v>
      </c>
      <c r="D609" s="6">
        <v>559</v>
      </c>
      <c r="E609" s="3" t="s">
        <v>1094</v>
      </c>
    </row>
    <row r="610" spans="1:5" ht="12.75">
      <c r="A610" s="85">
        <v>547</v>
      </c>
      <c r="B610" s="85">
        <v>0</v>
      </c>
      <c r="C610" s="6" t="s">
        <v>917</v>
      </c>
      <c r="D610" s="6">
        <v>559</v>
      </c>
      <c r="E610" s="3" t="s">
        <v>1095</v>
      </c>
    </row>
    <row r="611" spans="1:5" ht="12.75">
      <c r="A611" s="85">
        <v>547</v>
      </c>
      <c r="B611" s="85">
        <v>0</v>
      </c>
      <c r="C611" s="6" t="s">
        <v>917</v>
      </c>
      <c r="D611" s="6">
        <v>559</v>
      </c>
      <c r="E611" s="3" t="s">
        <v>1097</v>
      </c>
    </row>
    <row r="612" spans="1:5" ht="12.75">
      <c r="A612" s="85">
        <v>547</v>
      </c>
      <c r="B612" s="85">
        <v>0</v>
      </c>
      <c r="C612" s="6" t="s">
        <v>917</v>
      </c>
      <c r="D612" s="6">
        <v>559</v>
      </c>
      <c r="E612" s="3" t="s">
        <v>1096</v>
      </c>
    </row>
    <row r="613" spans="1:7" ht="12.75">
      <c r="A613" s="85">
        <f>545.7+1.5</f>
        <v>547.2</v>
      </c>
      <c r="B613" s="85">
        <v>0</v>
      </c>
      <c r="C613" s="6" t="s">
        <v>917</v>
      </c>
      <c r="D613" s="6">
        <v>559</v>
      </c>
      <c r="E613" s="3" t="s">
        <v>1100</v>
      </c>
      <c r="F613" s="133">
        <v>37255</v>
      </c>
      <c r="G613" s="3" t="s">
        <v>1091</v>
      </c>
    </row>
    <row r="614" spans="1:7" ht="12.75">
      <c r="A614" s="85">
        <f>538.1+1.5</f>
        <v>539.6</v>
      </c>
      <c r="B614" s="85">
        <v>0</v>
      </c>
      <c r="C614" s="6" t="s">
        <v>917</v>
      </c>
      <c r="D614" s="6">
        <v>559</v>
      </c>
      <c r="E614" s="3" t="s">
        <v>1099</v>
      </c>
      <c r="F614" s="133">
        <v>37255</v>
      </c>
      <c r="G614" s="3" t="s">
        <v>1091</v>
      </c>
    </row>
    <row r="615" spans="1:7" ht="12.75">
      <c r="A615" s="85">
        <f>547.8+1.5</f>
        <v>549.3</v>
      </c>
      <c r="B615" s="85">
        <v>0</v>
      </c>
      <c r="C615" s="6" t="s">
        <v>917</v>
      </c>
      <c r="D615" s="6">
        <v>559</v>
      </c>
      <c r="E615" s="3" t="s">
        <v>1102</v>
      </c>
      <c r="F615" s="133">
        <v>37255</v>
      </c>
      <c r="G615" s="3" t="s">
        <v>1091</v>
      </c>
    </row>
    <row r="616" spans="1:5" ht="12.75">
      <c r="A616" s="85">
        <v>547</v>
      </c>
      <c r="B616" s="85">
        <v>0</v>
      </c>
      <c r="C616" s="6" t="s">
        <v>917</v>
      </c>
      <c r="D616" s="6">
        <v>559</v>
      </c>
      <c r="E616" s="3" t="s">
        <v>1098</v>
      </c>
    </row>
    <row r="617" spans="1:5" ht="12.75">
      <c r="A617" s="85">
        <v>543</v>
      </c>
      <c r="B617" s="85">
        <v>0</v>
      </c>
      <c r="C617" s="6" t="s">
        <v>917</v>
      </c>
      <c r="D617" s="6">
        <v>559</v>
      </c>
      <c r="E617" s="3" t="s">
        <v>918</v>
      </c>
    </row>
    <row r="618" spans="1:7" ht="12.75">
      <c r="A618" s="85">
        <v>522</v>
      </c>
      <c r="B618" s="85">
        <v>0</v>
      </c>
      <c r="C618" s="6" t="s">
        <v>917</v>
      </c>
      <c r="D618" s="6">
        <v>559</v>
      </c>
      <c r="E618" s="3" t="s">
        <v>1152</v>
      </c>
      <c r="F618" s="133">
        <v>37900</v>
      </c>
      <c r="G618" s="104" t="s">
        <v>1153</v>
      </c>
    </row>
    <row r="619" spans="1:5" ht="12.75">
      <c r="A619" s="85">
        <v>545</v>
      </c>
      <c r="B619" s="85">
        <v>0</v>
      </c>
      <c r="C619" s="6" t="s">
        <v>917</v>
      </c>
      <c r="D619" s="6">
        <v>559</v>
      </c>
      <c r="E619" s="3" t="s">
        <v>919</v>
      </c>
    </row>
    <row r="620" spans="1:5" ht="12.75">
      <c r="A620" s="85">
        <v>545</v>
      </c>
      <c r="B620" s="85">
        <v>0</v>
      </c>
      <c r="C620" s="6" t="s">
        <v>917</v>
      </c>
      <c r="D620" s="6">
        <v>559</v>
      </c>
      <c r="E620" s="3" t="s">
        <v>920</v>
      </c>
    </row>
    <row r="621" spans="1:5" ht="12.75">
      <c r="A621" s="85">
        <v>545</v>
      </c>
      <c r="B621" s="85">
        <v>0</v>
      </c>
      <c r="C621" s="6" t="s">
        <v>917</v>
      </c>
      <c r="D621" s="6">
        <v>559</v>
      </c>
      <c r="E621" s="3" t="s">
        <v>921</v>
      </c>
    </row>
    <row r="622" spans="1:5" ht="12.75">
      <c r="A622" s="85">
        <v>553</v>
      </c>
      <c r="B622" s="85">
        <v>0</v>
      </c>
      <c r="C622" s="6" t="s">
        <v>917</v>
      </c>
      <c r="D622" s="6">
        <v>559</v>
      </c>
      <c r="E622" s="3" t="s">
        <v>922</v>
      </c>
    </row>
    <row r="623" spans="1:7" ht="12.75">
      <c r="A623" s="85">
        <f>536+3</f>
        <v>539</v>
      </c>
      <c r="B623" s="85">
        <v>2.5</v>
      </c>
      <c r="C623" s="6" t="s">
        <v>917</v>
      </c>
      <c r="D623" s="6">
        <v>559</v>
      </c>
      <c r="E623" s="3" t="s">
        <v>1062</v>
      </c>
      <c r="F623" s="133">
        <v>37322</v>
      </c>
      <c r="G623" s="3" t="s">
        <v>158</v>
      </c>
    </row>
    <row r="624" spans="1:7" ht="12.75">
      <c r="A624" s="85">
        <f>539+3</f>
        <v>542</v>
      </c>
      <c r="B624" s="85">
        <v>0</v>
      </c>
      <c r="C624" s="6" t="s">
        <v>917</v>
      </c>
      <c r="D624" s="6">
        <v>559</v>
      </c>
      <c r="E624" s="3" t="s">
        <v>1060</v>
      </c>
      <c r="F624" s="133">
        <v>37322</v>
      </c>
      <c r="G624" s="3" t="s">
        <v>158</v>
      </c>
    </row>
    <row r="625" spans="1:7" ht="12.75">
      <c r="A625" s="85">
        <f>539+3</f>
        <v>542</v>
      </c>
      <c r="B625" s="85">
        <v>0</v>
      </c>
      <c r="C625" s="6" t="s">
        <v>917</v>
      </c>
      <c r="D625" s="6">
        <v>559</v>
      </c>
      <c r="E625" s="3" t="s">
        <v>1073</v>
      </c>
      <c r="F625" s="133">
        <v>37322</v>
      </c>
      <c r="G625" s="3" t="s">
        <v>158</v>
      </c>
    </row>
    <row r="626" spans="1:7" ht="12.75">
      <c r="A626" s="85">
        <f>536+3</f>
        <v>539</v>
      </c>
      <c r="B626" s="85">
        <v>2.5</v>
      </c>
      <c r="C626" s="6" t="s">
        <v>917</v>
      </c>
      <c r="D626" s="6">
        <v>559</v>
      </c>
      <c r="E626" s="3" t="s">
        <v>1072</v>
      </c>
      <c r="F626" s="133">
        <v>37322</v>
      </c>
      <c r="G626" s="3" t="s">
        <v>158</v>
      </c>
    </row>
    <row r="627" spans="1:7" ht="12.75">
      <c r="A627" s="85">
        <v>543</v>
      </c>
      <c r="B627" s="85">
        <v>2.5</v>
      </c>
      <c r="C627" s="6" t="s">
        <v>917</v>
      </c>
      <c r="D627" s="6">
        <v>559</v>
      </c>
      <c r="E627" s="3" t="s">
        <v>1591</v>
      </c>
      <c r="F627" s="133">
        <v>37421</v>
      </c>
      <c r="G627" s="3" t="s">
        <v>158</v>
      </c>
    </row>
    <row r="628" spans="1:7" ht="12.75">
      <c r="A628" s="85">
        <v>538</v>
      </c>
      <c r="B628" s="85">
        <v>0</v>
      </c>
      <c r="C628" s="6" t="s">
        <v>917</v>
      </c>
      <c r="D628" s="6">
        <v>559</v>
      </c>
      <c r="E628" s="3" t="s">
        <v>1590</v>
      </c>
      <c r="F628" s="133">
        <v>37421</v>
      </c>
      <c r="G628" s="3" t="s">
        <v>158</v>
      </c>
    </row>
    <row r="629" spans="1:7" ht="12.75">
      <c r="A629" s="85">
        <f>539</f>
        <v>539</v>
      </c>
      <c r="B629" s="85">
        <v>0</v>
      </c>
      <c r="C629" s="6" t="s">
        <v>917</v>
      </c>
      <c r="D629" s="6">
        <v>559</v>
      </c>
      <c r="E629" s="3" t="s">
        <v>1069</v>
      </c>
      <c r="F629" s="133">
        <v>37322</v>
      </c>
      <c r="G629" s="3" t="s">
        <v>158</v>
      </c>
    </row>
    <row r="630" spans="1:7" ht="12.75">
      <c r="A630" s="85">
        <f aca="true" t="shared" si="1" ref="A630:A638">542+3</f>
        <v>545</v>
      </c>
      <c r="B630" s="85">
        <v>0</v>
      </c>
      <c r="C630" s="6" t="s">
        <v>917</v>
      </c>
      <c r="D630" s="6">
        <v>559</v>
      </c>
      <c r="E630" s="3" t="s">
        <v>1064</v>
      </c>
      <c r="F630" s="133">
        <v>37322</v>
      </c>
      <c r="G630" s="3" t="s">
        <v>158</v>
      </c>
    </row>
    <row r="631" spans="1:7" ht="12.75">
      <c r="A631" s="85">
        <f t="shared" si="1"/>
        <v>545</v>
      </c>
      <c r="B631" s="85">
        <v>2.5</v>
      </c>
      <c r="C631" s="6" t="s">
        <v>917</v>
      </c>
      <c r="D631" s="6">
        <v>559</v>
      </c>
      <c r="E631" s="3" t="s">
        <v>1065</v>
      </c>
      <c r="F631" s="133">
        <v>37322</v>
      </c>
      <c r="G631" s="3" t="s">
        <v>158</v>
      </c>
    </row>
    <row r="632" spans="1:7" ht="12.75">
      <c r="A632" s="85">
        <f t="shared" si="1"/>
        <v>545</v>
      </c>
      <c r="B632" s="85">
        <v>2.5</v>
      </c>
      <c r="C632" s="6" t="s">
        <v>917</v>
      </c>
      <c r="D632" s="6">
        <v>559</v>
      </c>
      <c r="E632" s="3" t="s">
        <v>1063</v>
      </c>
      <c r="F632" s="133">
        <v>37322</v>
      </c>
      <c r="G632" s="3" t="s">
        <v>158</v>
      </c>
    </row>
    <row r="633" spans="1:7" ht="12.75">
      <c r="A633" s="85">
        <f t="shared" si="1"/>
        <v>545</v>
      </c>
      <c r="B633" s="85">
        <v>0</v>
      </c>
      <c r="C633" s="6" t="s">
        <v>917</v>
      </c>
      <c r="D633" s="6">
        <v>559</v>
      </c>
      <c r="E633" s="3" t="s">
        <v>1058</v>
      </c>
      <c r="F633" s="133">
        <v>37322</v>
      </c>
      <c r="G633" s="3" t="s">
        <v>158</v>
      </c>
    </row>
    <row r="634" spans="1:7" ht="12.75">
      <c r="A634" s="85">
        <f t="shared" si="1"/>
        <v>545</v>
      </c>
      <c r="B634" s="85">
        <v>0</v>
      </c>
      <c r="C634" s="6" t="s">
        <v>917</v>
      </c>
      <c r="D634" s="6">
        <v>559</v>
      </c>
      <c r="E634" s="3" t="s">
        <v>1061</v>
      </c>
      <c r="F634" s="133">
        <v>37322</v>
      </c>
      <c r="G634" s="3" t="s">
        <v>158</v>
      </c>
    </row>
    <row r="635" spans="1:7" ht="12.75">
      <c r="A635" s="85">
        <f t="shared" si="1"/>
        <v>545</v>
      </c>
      <c r="B635" s="85">
        <v>2.5</v>
      </c>
      <c r="C635" s="6" t="s">
        <v>917</v>
      </c>
      <c r="D635" s="6">
        <v>559</v>
      </c>
      <c r="E635" s="3" t="s">
        <v>1070</v>
      </c>
      <c r="F635" s="133">
        <v>37322</v>
      </c>
      <c r="G635" s="3" t="s">
        <v>158</v>
      </c>
    </row>
    <row r="636" spans="1:7" ht="12.75">
      <c r="A636" s="85">
        <f t="shared" si="1"/>
        <v>545</v>
      </c>
      <c r="B636" s="85">
        <v>0</v>
      </c>
      <c r="C636" s="6" t="s">
        <v>917</v>
      </c>
      <c r="D636" s="6">
        <v>559</v>
      </c>
      <c r="E636" s="3" t="s">
        <v>1059</v>
      </c>
      <c r="F636" s="133">
        <v>37322</v>
      </c>
      <c r="G636" s="3" t="s">
        <v>158</v>
      </c>
    </row>
    <row r="637" spans="1:7" ht="12.75">
      <c r="A637" s="85">
        <f t="shared" si="1"/>
        <v>545</v>
      </c>
      <c r="B637" s="85">
        <v>2.5</v>
      </c>
      <c r="C637" s="6" t="s">
        <v>917</v>
      </c>
      <c r="D637" s="6">
        <v>559</v>
      </c>
      <c r="E637" s="3" t="s">
        <v>1066</v>
      </c>
      <c r="F637" s="133">
        <v>37322</v>
      </c>
      <c r="G637" s="3" t="s">
        <v>158</v>
      </c>
    </row>
    <row r="638" spans="1:5" ht="12.75">
      <c r="A638" s="85">
        <f t="shared" si="1"/>
        <v>545</v>
      </c>
      <c r="B638" s="85">
        <v>2.5</v>
      </c>
      <c r="C638" s="6" t="s">
        <v>917</v>
      </c>
      <c r="D638" s="6">
        <v>559</v>
      </c>
      <c r="E638" s="3" t="s">
        <v>275</v>
      </c>
    </row>
    <row r="639" spans="1:5" ht="12.75">
      <c r="A639" s="85">
        <f>539+3</f>
        <v>542</v>
      </c>
      <c r="B639" s="85">
        <v>0</v>
      </c>
      <c r="C639" s="6" t="s">
        <v>917</v>
      </c>
      <c r="D639" s="6">
        <v>559</v>
      </c>
      <c r="E639" s="3" t="s">
        <v>1071</v>
      </c>
    </row>
    <row r="640" spans="1:7" ht="12.75">
      <c r="A640" s="85">
        <v>537.5</v>
      </c>
      <c r="B640" s="85">
        <v>2.5</v>
      </c>
      <c r="C640" s="6" t="s">
        <v>917</v>
      </c>
      <c r="D640" s="6">
        <v>559</v>
      </c>
      <c r="E640" s="3" t="s">
        <v>861</v>
      </c>
      <c r="F640" s="133">
        <v>37333</v>
      </c>
      <c r="G640" s="3" t="s">
        <v>586</v>
      </c>
    </row>
    <row r="641" spans="1:7" ht="12.75">
      <c r="A641" s="85">
        <v>542</v>
      </c>
      <c r="B641" s="85">
        <v>2.5</v>
      </c>
      <c r="C641" s="6" t="s">
        <v>917</v>
      </c>
      <c r="D641" s="6">
        <v>559</v>
      </c>
      <c r="E641" s="3" t="s">
        <v>48</v>
      </c>
      <c r="F641" s="133">
        <v>37839</v>
      </c>
      <c r="G641" s="3" t="s">
        <v>154</v>
      </c>
    </row>
    <row r="642" spans="1:7" ht="12.75">
      <c r="A642" s="85">
        <v>539</v>
      </c>
      <c r="B642" s="85">
        <v>0</v>
      </c>
      <c r="C642" s="6" t="s">
        <v>917</v>
      </c>
      <c r="D642" s="6">
        <v>559</v>
      </c>
      <c r="E642" s="3" t="s">
        <v>47</v>
      </c>
      <c r="F642" s="133">
        <v>37839</v>
      </c>
      <c r="G642" s="3" t="s">
        <v>154</v>
      </c>
    </row>
    <row r="643" spans="1:7" ht="12.75">
      <c r="A643" s="85">
        <v>537</v>
      </c>
      <c r="B643" s="85">
        <v>2.5</v>
      </c>
      <c r="C643" s="6" t="s">
        <v>917</v>
      </c>
      <c r="D643" s="6">
        <v>559</v>
      </c>
      <c r="E643" s="3" t="s">
        <v>50</v>
      </c>
      <c r="F643" s="133">
        <v>37839</v>
      </c>
      <c r="G643" s="3" t="s">
        <v>154</v>
      </c>
    </row>
    <row r="644" spans="1:5" ht="12.75">
      <c r="A644" s="85">
        <v>549</v>
      </c>
      <c r="B644" s="85">
        <v>0</v>
      </c>
      <c r="C644" s="6" t="s">
        <v>917</v>
      </c>
      <c r="D644" s="6">
        <v>559</v>
      </c>
      <c r="E644" s="3" t="s">
        <v>923</v>
      </c>
    </row>
    <row r="645" spans="1:5" ht="12.75">
      <c r="A645" s="85">
        <v>552</v>
      </c>
      <c r="B645" s="85">
        <v>0</v>
      </c>
      <c r="C645" s="6" t="s">
        <v>917</v>
      </c>
      <c r="D645" s="6">
        <v>559</v>
      </c>
      <c r="E645" s="3" t="s">
        <v>924</v>
      </c>
    </row>
    <row r="646" spans="1:5" ht="12.75">
      <c r="A646" s="85">
        <v>547</v>
      </c>
      <c r="B646" s="85">
        <v>0</v>
      </c>
      <c r="C646" s="6" t="s">
        <v>917</v>
      </c>
      <c r="D646" s="6">
        <v>559</v>
      </c>
      <c r="E646" s="3" t="s">
        <v>925</v>
      </c>
    </row>
    <row r="647" spans="1:5" ht="12.75">
      <c r="A647" s="85">
        <v>541</v>
      </c>
      <c r="B647" s="85">
        <v>0</v>
      </c>
      <c r="C647" s="6" t="s">
        <v>917</v>
      </c>
      <c r="D647" s="6">
        <v>559</v>
      </c>
      <c r="E647" s="3" t="s">
        <v>926</v>
      </c>
    </row>
    <row r="648" spans="1:5" ht="12.75">
      <c r="A648" s="85">
        <v>553</v>
      </c>
      <c r="B648" s="85">
        <v>0</v>
      </c>
      <c r="C648" s="6" t="s">
        <v>917</v>
      </c>
      <c r="D648" s="6">
        <v>559</v>
      </c>
      <c r="E648" s="3" t="s">
        <v>927</v>
      </c>
    </row>
    <row r="649" spans="1:5" ht="12.75">
      <c r="A649" s="85">
        <v>541</v>
      </c>
      <c r="B649" s="85">
        <v>0</v>
      </c>
      <c r="C649" s="6" t="s">
        <v>917</v>
      </c>
      <c r="D649" s="6">
        <v>559</v>
      </c>
      <c r="E649" s="3" t="s">
        <v>956</v>
      </c>
    </row>
    <row r="650" spans="1:5" ht="12.75">
      <c r="A650" s="85">
        <v>551</v>
      </c>
      <c r="B650" s="85">
        <v>0</v>
      </c>
      <c r="C650" s="6" t="s">
        <v>917</v>
      </c>
      <c r="D650" s="6">
        <v>559</v>
      </c>
      <c r="E650" s="3" t="s">
        <v>957</v>
      </c>
    </row>
    <row r="651" spans="1:5" ht="12.75">
      <c r="A651" s="85">
        <v>539</v>
      </c>
      <c r="B651" s="85">
        <v>0</v>
      </c>
      <c r="C651" s="6" t="s">
        <v>917</v>
      </c>
      <c r="D651" s="6">
        <v>559</v>
      </c>
      <c r="E651" s="3" t="s">
        <v>960</v>
      </c>
    </row>
    <row r="652" spans="1:5" ht="12.75">
      <c r="A652" s="85">
        <v>546</v>
      </c>
      <c r="B652" s="85">
        <v>0</v>
      </c>
      <c r="C652" s="6" t="s">
        <v>917</v>
      </c>
      <c r="D652" s="6">
        <v>559</v>
      </c>
      <c r="E652" s="3" t="s">
        <v>961</v>
      </c>
    </row>
    <row r="653" spans="1:5" ht="12.75">
      <c r="A653" s="85">
        <v>519</v>
      </c>
      <c r="B653" s="85">
        <v>0</v>
      </c>
      <c r="C653" s="6" t="s">
        <v>917</v>
      </c>
      <c r="D653" s="6">
        <v>559</v>
      </c>
      <c r="E653" s="3" t="s">
        <v>962</v>
      </c>
    </row>
    <row r="654" spans="1:5" ht="12.75">
      <c r="A654" s="85">
        <v>548</v>
      </c>
      <c r="B654" s="85">
        <v>0</v>
      </c>
      <c r="C654" s="6" t="s">
        <v>917</v>
      </c>
      <c r="D654" s="6">
        <v>559</v>
      </c>
      <c r="E654" s="3" t="s">
        <v>963</v>
      </c>
    </row>
    <row r="655" spans="1:5" ht="12.75">
      <c r="A655" s="85">
        <v>542</v>
      </c>
      <c r="B655" s="85">
        <v>0</v>
      </c>
      <c r="C655" s="6" t="s">
        <v>917</v>
      </c>
      <c r="D655" s="6">
        <v>559</v>
      </c>
      <c r="E655" s="3" t="s">
        <v>964</v>
      </c>
    </row>
    <row r="656" spans="1:5" ht="12.75">
      <c r="A656" s="85">
        <v>542</v>
      </c>
      <c r="B656" s="85">
        <v>0</v>
      </c>
      <c r="C656" s="6" t="s">
        <v>917</v>
      </c>
      <c r="D656" s="6">
        <v>559</v>
      </c>
      <c r="E656" s="3" t="s">
        <v>965</v>
      </c>
    </row>
    <row r="657" spans="1:5" ht="12.75">
      <c r="A657" s="85">
        <v>540</v>
      </c>
      <c r="B657" s="85">
        <v>0</v>
      </c>
      <c r="C657" s="6" t="s">
        <v>917</v>
      </c>
      <c r="D657" s="6">
        <v>559</v>
      </c>
      <c r="E657" s="3" t="s">
        <v>966</v>
      </c>
    </row>
    <row r="658" spans="1:5" ht="12.75">
      <c r="A658" s="85">
        <v>540</v>
      </c>
      <c r="B658" s="85">
        <v>0</v>
      </c>
      <c r="C658" s="6" t="s">
        <v>917</v>
      </c>
      <c r="D658" s="6">
        <v>559</v>
      </c>
      <c r="E658" s="3" t="s">
        <v>967</v>
      </c>
    </row>
    <row r="659" spans="1:5" ht="12.75">
      <c r="A659" s="85">
        <v>543</v>
      </c>
      <c r="B659" s="85">
        <v>0</v>
      </c>
      <c r="C659" s="6" t="s">
        <v>917</v>
      </c>
      <c r="D659" s="6">
        <v>559</v>
      </c>
      <c r="E659" s="3" t="s">
        <v>968</v>
      </c>
    </row>
    <row r="660" spans="1:5" ht="12.75">
      <c r="A660" s="85">
        <v>546</v>
      </c>
      <c r="B660" s="85">
        <v>0</v>
      </c>
      <c r="C660" s="6" t="s">
        <v>917</v>
      </c>
      <c r="D660" s="6">
        <v>559</v>
      </c>
      <c r="E660" s="3" t="s">
        <v>969</v>
      </c>
    </row>
    <row r="661" spans="1:7" ht="12.75">
      <c r="A661" s="85">
        <v>537</v>
      </c>
      <c r="B661" s="85">
        <v>0</v>
      </c>
      <c r="C661" s="6" t="s">
        <v>917</v>
      </c>
      <c r="D661" s="6">
        <v>559</v>
      </c>
      <c r="E661" s="3" t="s">
        <v>821</v>
      </c>
      <c r="F661" s="137">
        <v>38661</v>
      </c>
      <c r="G661" s="3" t="s">
        <v>812</v>
      </c>
    </row>
    <row r="662" spans="1:7" ht="12.75">
      <c r="A662" s="85">
        <v>539</v>
      </c>
      <c r="B662" s="85">
        <v>0</v>
      </c>
      <c r="C662" s="6" t="s">
        <v>917</v>
      </c>
      <c r="D662" s="6">
        <v>559</v>
      </c>
      <c r="E662" s="3" t="s">
        <v>816</v>
      </c>
      <c r="F662" s="137">
        <v>38661</v>
      </c>
      <c r="G662" s="3" t="s">
        <v>812</v>
      </c>
    </row>
    <row r="663" spans="1:7" ht="12.75">
      <c r="A663" s="85">
        <v>535</v>
      </c>
      <c r="B663" s="85">
        <v>0</v>
      </c>
      <c r="C663" s="6" t="s">
        <v>917</v>
      </c>
      <c r="D663" s="6">
        <v>559</v>
      </c>
      <c r="E663" s="3" t="s">
        <v>817</v>
      </c>
      <c r="F663" s="137">
        <v>38661</v>
      </c>
      <c r="G663" s="3" t="s">
        <v>812</v>
      </c>
    </row>
    <row r="664" spans="1:7" ht="12.75">
      <c r="A664" s="85">
        <v>538</v>
      </c>
      <c r="B664" s="85">
        <v>0</v>
      </c>
      <c r="C664" s="6" t="s">
        <v>917</v>
      </c>
      <c r="D664" s="6">
        <v>559</v>
      </c>
      <c r="E664" s="3" t="s">
        <v>814</v>
      </c>
      <c r="F664" s="137">
        <v>38661</v>
      </c>
      <c r="G664" s="3" t="s">
        <v>812</v>
      </c>
    </row>
    <row r="665" spans="1:7" ht="12.75">
      <c r="A665" s="85">
        <v>538</v>
      </c>
      <c r="B665" s="85">
        <v>0</v>
      </c>
      <c r="C665" s="6" t="s">
        <v>917</v>
      </c>
      <c r="D665" s="6">
        <v>559</v>
      </c>
      <c r="E665" s="3" t="s">
        <v>813</v>
      </c>
      <c r="F665" s="137">
        <v>38661</v>
      </c>
      <c r="G665" s="3" t="s">
        <v>812</v>
      </c>
    </row>
    <row r="666" spans="1:7" ht="12.75">
      <c r="A666" s="85">
        <v>538</v>
      </c>
      <c r="B666" s="85">
        <v>0</v>
      </c>
      <c r="C666" s="6" t="s">
        <v>917</v>
      </c>
      <c r="D666" s="6">
        <v>559</v>
      </c>
      <c r="E666" s="3" t="s">
        <v>815</v>
      </c>
      <c r="F666" s="137">
        <v>38661</v>
      </c>
      <c r="G666" s="3" t="s">
        <v>812</v>
      </c>
    </row>
    <row r="667" spans="1:7" ht="12.75">
      <c r="A667" s="85">
        <v>539</v>
      </c>
      <c r="B667" s="85">
        <v>0</v>
      </c>
      <c r="C667" s="6" t="s">
        <v>917</v>
      </c>
      <c r="D667" s="6">
        <v>559</v>
      </c>
      <c r="E667" s="3" t="s">
        <v>819</v>
      </c>
      <c r="F667" s="137">
        <v>38661</v>
      </c>
      <c r="G667" s="3" t="s">
        <v>812</v>
      </c>
    </row>
    <row r="668" spans="1:7" ht="12.75">
      <c r="A668" s="85">
        <v>540</v>
      </c>
      <c r="B668" s="85">
        <v>0</v>
      </c>
      <c r="C668" s="6" t="s">
        <v>917</v>
      </c>
      <c r="D668" s="6">
        <v>559</v>
      </c>
      <c r="E668" s="3" t="s">
        <v>820</v>
      </c>
      <c r="F668" s="137">
        <v>38661</v>
      </c>
      <c r="G668" s="3" t="s">
        <v>812</v>
      </c>
    </row>
    <row r="669" spans="1:5" ht="12.75">
      <c r="A669" s="85">
        <v>545</v>
      </c>
      <c r="B669" s="85">
        <v>0</v>
      </c>
      <c r="C669" s="6" t="s">
        <v>917</v>
      </c>
      <c r="D669" s="6">
        <v>559</v>
      </c>
      <c r="E669" s="3" t="s">
        <v>970</v>
      </c>
    </row>
    <row r="670" spans="1:5" ht="12.75">
      <c r="A670" s="85">
        <v>543</v>
      </c>
      <c r="B670" s="85">
        <v>0</v>
      </c>
      <c r="C670" s="6" t="s">
        <v>917</v>
      </c>
      <c r="D670" s="6">
        <v>559</v>
      </c>
      <c r="E670" s="3" t="s">
        <v>698</v>
      </c>
    </row>
    <row r="671" spans="1:5" ht="12.75">
      <c r="A671" s="85">
        <v>535</v>
      </c>
      <c r="B671" s="85">
        <v>0</v>
      </c>
      <c r="C671" s="6" t="s">
        <v>917</v>
      </c>
      <c r="D671" s="6">
        <v>559</v>
      </c>
      <c r="E671" s="3" t="s">
        <v>971</v>
      </c>
    </row>
    <row r="672" spans="1:7" ht="12.75">
      <c r="A672" s="85">
        <v>530</v>
      </c>
      <c r="B672" s="85">
        <v>0</v>
      </c>
      <c r="C672" s="6" t="s">
        <v>917</v>
      </c>
      <c r="D672" s="6">
        <v>559</v>
      </c>
      <c r="E672" s="3" t="s">
        <v>1331</v>
      </c>
      <c r="F672" s="137">
        <v>39053</v>
      </c>
      <c r="G672" s="3" t="s">
        <v>1328</v>
      </c>
    </row>
    <row r="673" spans="1:7" ht="12.75">
      <c r="A673" s="85">
        <v>528</v>
      </c>
      <c r="B673" s="85">
        <v>0</v>
      </c>
      <c r="C673" s="6" t="s">
        <v>917</v>
      </c>
      <c r="D673" s="6">
        <v>559</v>
      </c>
      <c r="E673" s="3" t="s">
        <v>1332</v>
      </c>
      <c r="F673" s="137">
        <v>39053</v>
      </c>
      <c r="G673" s="3" t="s">
        <v>1328</v>
      </c>
    </row>
    <row r="674" spans="1:5" ht="12.75">
      <c r="A674" s="85">
        <v>538</v>
      </c>
      <c r="B674" s="85">
        <v>0</v>
      </c>
      <c r="C674" s="6" t="s">
        <v>917</v>
      </c>
      <c r="D674" s="6">
        <v>559</v>
      </c>
      <c r="E674" s="3" t="s">
        <v>973</v>
      </c>
    </row>
    <row r="675" spans="1:7" ht="12.75">
      <c r="A675" s="85">
        <f>2*256+AVERAGE(33,32.5,33,32.5,31.9,31.4,32.1,32.3)</f>
        <v>544.3375</v>
      </c>
      <c r="B675" s="85">
        <v>0</v>
      </c>
      <c r="C675" s="6" t="s">
        <v>917</v>
      </c>
      <c r="D675" s="6">
        <v>559</v>
      </c>
      <c r="E675" s="3" t="s">
        <v>323</v>
      </c>
      <c r="F675" s="133">
        <v>37528</v>
      </c>
      <c r="G675" s="3" t="s">
        <v>158</v>
      </c>
    </row>
    <row r="676" spans="1:5" ht="12.75">
      <c r="A676" s="85">
        <v>535</v>
      </c>
      <c r="B676" s="85">
        <v>0</v>
      </c>
      <c r="C676" s="6" t="s">
        <v>917</v>
      </c>
      <c r="D676" s="6">
        <v>559</v>
      </c>
      <c r="E676" s="3" t="s">
        <v>708</v>
      </c>
    </row>
    <row r="677" spans="1:5" ht="12.75">
      <c r="A677" s="85">
        <v>539</v>
      </c>
      <c r="B677" s="85">
        <v>0</v>
      </c>
      <c r="C677" s="6" t="s">
        <v>917</v>
      </c>
      <c r="D677" s="6">
        <v>559</v>
      </c>
      <c r="E677" s="3" t="s">
        <v>709</v>
      </c>
    </row>
    <row r="678" spans="1:5" ht="12.75">
      <c r="A678" s="85">
        <v>551</v>
      </c>
      <c r="B678" s="85">
        <v>0</v>
      </c>
      <c r="C678" s="6" t="s">
        <v>917</v>
      </c>
      <c r="D678" s="6">
        <v>559</v>
      </c>
      <c r="E678" s="3" t="s">
        <v>974</v>
      </c>
    </row>
    <row r="679" spans="1:5" ht="12.75">
      <c r="A679" s="85">
        <v>547</v>
      </c>
      <c r="B679" s="85">
        <v>0</v>
      </c>
      <c r="C679" s="6" t="s">
        <v>917</v>
      </c>
      <c r="D679" s="6">
        <v>559</v>
      </c>
      <c r="E679" s="3" t="s">
        <v>975</v>
      </c>
    </row>
    <row r="680" spans="1:5" ht="12.75">
      <c r="A680" s="85">
        <v>546</v>
      </c>
      <c r="B680" s="85">
        <v>0</v>
      </c>
      <c r="C680" s="6" t="s">
        <v>917</v>
      </c>
      <c r="D680" s="6">
        <v>559</v>
      </c>
      <c r="E680" s="3" t="s">
        <v>976</v>
      </c>
    </row>
    <row r="681" spans="1:5" ht="12.75">
      <c r="A681" s="85">
        <v>541</v>
      </c>
      <c r="B681" s="85">
        <v>0</v>
      </c>
      <c r="C681" s="6" t="s">
        <v>917</v>
      </c>
      <c r="D681" s="6">
        <v>559</v>
      </c>
      <c r="E681" s="3" t="s">
        <v>977</v>
      </c>
    </row>
    <row r="682" spans="1:5" ht="12.75">
      <c r="A682" s="85">
        <v>546</v>
      </c>
      <c r="B682" s="85">
        <v>0</v>
      </c>
      <c r="C682" s="6" t="s">
        <v>917</v>
      </c>
      <c r="D682" s="6">
        <v>559</v>
      </c>
      <c r="E682" s="3" t="s">
        <v>978</v>
      </c>
    </row>
    <row r="683" spans="1:5" ht="12.75">
      <c r="A683" s="85">
        <v>541</v>
      </c>
      <c r="B683" s="85">
        <v>0</v>
      </c>
      <c r="C683" s="6" t="s">
        <v>917</v>
      </c>
      <c r="D683" s="6">
        <v>559</v>
      </c>
      <c r="E683" s="3" t="s">
        <v>979</v>
      </c>
    </row>
    <row r="684" spans="1:7" ht="12.75">
      <c r="A684" s="85">
        <f>541+3</f>
        <v>544</v>
      </c>
      <c r="B684" s="85">
        <v>0</v>
      </c>
      <c r="C684" s="6" t="s">
        <v>917</v>
      </c>
      <c r="D684" s="6">
        <v>559</v>
      </c>
      <c r="E684" s="3" t="s">
        <v>24</v>
      </c>
      <c r="F684" s="133">
        <v>37235</v>
      </c>
      <c r="G684" s="3" t="s">
        <v>568</v>
      </c>
    </row>
    <row r="685" spans="1:7" ht="12.75">
      <c r="A685" s="85">
        <f>536+3</f>
        <v>539</v>
      </c>
      <c r="B685" s="85">
        <v>0</v>
      </c>
      <c r="C685" s="6" t="s">
        <v>917</v>
      </c>
      <c r="D685" s="6">
        <v>559</v>
      </c>
      <c r="E685" s="3" t="s">
        <v>25</v>
      </c>
      <c r="F685" s="133">
        <v>37235</v>
      </c>
      <c r="G685" s="3" t="s">
        <v>568</v>
      </c>
    </row>
    <row r="686" spans="1:7" ht="12.75">
      <c r="A686" s="85">
        <v>540.5</v>
      </c>
      <c r="B686" s="85">
        <v>0</v>
      </c>
      <c r="C686" s="6" t="s">
        <v>917</v>
      </c>
      <c r="D686" s="6">
        <v>559</v>
      </c>
      <c r="E686" s="3" t="s">
        <v>213</v>
      </c>
      <c r="F686" s="133">
        <v>38304</v>
      </c>
      <c r="G686" s="3" t="s">
        <v>194</v>
      </c>
    </row>
    <row r="687" spans="1:7" ht="12.75">
      <c r="A687" s="85">
        <f>540+3</f>
        <v>543</v>
      </c>
      <c r="B687" s="85">
        <v>0</v>
      </c>
      <c r="C687" s="6" t="s">
        <v>917</v>
      </c>
      <c r="D687" s="6">
        <v>559</v>
      </c>
      <c r="E687" s="3" t="s">
        <v>26</v>
      </c>
      <c r="F687" s="133">
        <v>37235</v>
      </c>
      <c r="G687" s="3" t="s">
        <v>568</v>
      </c>
    </row>
    <row r="688" spans="1:7" ht="12.75">
      <c r="A688" s="85">
        <f>540.5+3</f>
        <v>543.5</v>
      </c>
      <c r="B688" s="85">
        <v>0</v>
      </c>
      <c r="C688" s="6" t="s">
        <v>917</v>
      </c>
      <c r="D688" s="6">
        <v>559</v>
      </c>
      <c r="E688" s="3" t="s">
        <v>27</v>
      </c>
      <c r="F688" s="133">
        <v>37235</v>
      </c>
      <c r="G688" s="3" t="s">
        <v>568</v>
      </c>
    </row>
    <row r="689" spans="1:7" ht="12.75">
      <c r="A689" s="85">
        <f>541.5+3</f>
        <v>544.5</v>
      </c>
      <c r="B689" s="85">
        <v>0</v>
      </c>
      <c r="C689" s="6" t="s">
        <v>917</v>
      </c>
      <c r="D689" s="6">
        <v>559</v>
      </c>
      <c r="E689" s="3" t="s">
        <v>28</v>
      </c>
      <c r="F689" s="133">
        <v>37235</v>
      </c>
      <c r="G689" s="3" t="s">
        <v>568</v>
      </c>
    </row>
    <row r="690" spans="1:7" ht="12.75">
      <c r="A690" s="85">
        <v>543</v>
      </c>
      <c r="B690" s="85">
        <v>0</v>
      </c>
      <c r="C690" s="6" t="s">
        <v>917</v>
      </c>
      <c r="D690" s="6">
        <v>559</v>
      </c>
      <c r="E690" s="3" t="s">
        <v>214</v>
      </c>
      <c r="F690" s="133">
        <v>38304</v>
      </c>
      <c r="G690" s="3" t="s">
        <v>194</v>
      </c>
    </row>
    <row r="691" spans="1:7" ht="12.75">
      <c r="A691" s="85">
        <v>534.5</v>
      </c>
      <c r="B691" s="85">
        <v>0</v>
      </c>
      <c r="C691" s="6" t="s">
        <v>917</v>
      </c>
      <c r="D691" s="6">
        <v>559</v>
      </c>
      <c r="E691" s="3" t="s">
        <v>215</v>
      </c>
      <c r="F691" s="133">
        <v>38304</v>
      </c>
      <c r="G691" s="3" t="s">
        <v>194</v>
      </c>
    </row>
    <row r="692" spans="1:7" ht="12.75">
      <c r="A692" s="85">
        <f>534.5+3</f>
        <v>537.5</v>
      </c>
      <c r="B692" s="85">
        <v>0</v>
      </c>
      <c r="C692" s="6" t="s">
        <v>917</v>
      </c>
      <c r="D692" s="6">
        <v>559</v>
      </c>
      <c r="E692" s="3" t="s">
        <v>45</v>
      </c>
      <c r="F692" s="133">
        <v>37253</v>
      </c>
      <c r="G692" s="3" t="s">
        <v>568</v>
      </c>
    </row>
    <row r="693" spans="1:7" ht="12.75">
      <c r="A693" s="85">
        <f>532+3</f>
        <v>535</v>
      </c>
      <c r="B693" s="85">
        <v>0</v>
      </c>
      <c r="C693" s="6" t="s">
        <v>917</v>
      </c>
      <c r="D693" s="6">
        <v>559</v>
      </c>
      <c r="E693" s="3" t="s">
        <v>51</v>
      </c>
      <c r="F693" s="133">
        <v>37253</v>
      </c>
      <c r="G693" s="3" t="s">
        <v>568</v>
      </c>
    </row>
    <row r="694" spans="1:5" ht="12.75">
      <c r="A694" s="85">
        <v>540</v>
      </c>
      <c r="B694" s="85">
        <v>0</v>
      </c>
      <c r="C694" s="6" t="s">
        <v>917</v>
      </c>
      <c r="D694" s="6">
        <v>559</v>
      </c>
      <c r="E694" s="3" t="s">
        <v>980</v>
      </c>
    </row>
    <row r="695" spans="1:5" ht="12.75">
      <c r="A695" s="85">
        <v>540</v>
      </c>
      <c r="B695" s="85">
        <v>0</v>
      </c>
      <c r="C695" s="6" t="s">
        <v>917</v>
      </c>
      <c r="D695" s="6">
        <v>559</v>
      </c>
      <c r="E695" s="3" t="s">
        <v>981</v>
      </c>
    </row>
    <row r="696" spans="1:7" ht="12.75">
      <c r="A696" s="85">
        <v>536.5</v>
      </c>
      <c r="B696" s="85">
        <v>0</v>
      </c>
      <c r="C696" s="6" t="s">
        <v>917</v>
      </c>
      <c r="D696" s="6">
        <v>559</v>
      </c>
      <c r="E696" s="3" t="s">
        <v>216</v>
      </c>
      <c r="F696" s="133">
        <v>38304</v>
      </c>
      <c r="G696" s="3" t="s">
        <v>194</v>
      </c>
    </row>
    <row r="697" spans="1:7" ht="12.75">
      <c r="A697" s="85">
        <v>534.5</v>
      </c>
      <c r="B697" s="85">
        <v>0</v>
      </c>
      <c r="C697" s="6" t="s">
        <v>917</v>
      </c>
      <c r="D697" s="6">
        <v>559</v>
      </c>
      <c r="E697" s="3" t="s">
        <v>217</v>
      </c>
      <c r="F697" s="133">
        <v>38304</v>
      </c>
      <c r="G697" s="3" t="s">
        <v>194</v>
      </c>
    </row>
    <row r="698" spans="1:7" ht="12.75">
      <c r="A698" s="85">
        <v>537</v>
      </c>
      <c r="B698" s="85">
        <v>0</v>
      </c>
      <c r="C698" s="6" t="s">
        <v>917</v>
      </c>
      <c r="D698" s="6">
        <v>559</v>
      </c>
      <c r="E698" s="3" t="s">
        <v>218</v>
      </c>
      <c r="F698" s="133">
        <v>38304</v>
      </c>
      <c r="G698" s="3" t="s">
        <v>194</v>
      </c>
    </row>
    <row r="699" spans="1:7" ht="12.75">
      <c r="A699" s="85">
        <v>534.5</v>
      </c>
      <c r="B699" s="85">
        <v>0</v>
      </c>
      <c r="C699" s="6" t="s">
        <v>917</v>
      </c>
      <c r="D699" s="6">
        <v>559</v>
      </c>
      <c r="E699" s="3" t="s">
        <v>219</v>
      </c>
      <c r="F699" s="133">
        <v>38304</v>
      </c>
      <c r="G699" s="3" t="s">
        <v>194</v>
      </c>
    </row>
    <row r="700" spans="1:7" ht="12.75">
      <c r="A700" s="85">
        <v>530.5</v>
      </c>
      <c r="B700" s="85">
        <v>0</v>
      </c>
      <c r="C700" s="6" t="s">
        <v>917</v>
      </c>
      <c r="D700" s="6">
        <v>559</v>
      </c>
      <c r="E700" s="3" t="s">
        <v>220</v>
      </c>
      <c r="F700" s="133">
        <v>38304</v>
      </c>
      <c r="G700" s="3" t="s">
        <v>194</v>
      </c>
    </row>
    <row r="701" spans="1:7" ht="12.75">
      <c r="A701" s="85">
        <v>538.5</v>
      </c>
      <c r="B701" s="85">
        <v>0</v>
      </c>
      <c r="C701" s="6" t="s">
        <v>917</v>
      </c>
      <c r="D701" s="6">
        <v>559</v>
      </c>
      <c r="E701" s="3" t="s">
        <v>221</v>
      </c>
      <c r="F701" s="133">
        <v>38304</v>
      </c>
      <c r="G701" s="3" t="s">
        <v>194</v>
      </c>
    </row>
    <row r="702" spans="1:7" ht="12.75">
      <c r="A702" s="85">
        <v>538.5</v>
      </c>
      <c r="B702" s="85">
        <v>0</v>
      </c>
      <c r="C702" s="6" t="s">
        <v>917</v>
      </c>
      <c r="D702" s="6">
        <v>559</v>
      </c>
      <c r="E702" s="3" t="s">
        <v>982</v>
      </c>
      <c r="F702" s="133">
        <v>38304</v>
      </c>
      <c r="G702" s="3" t="s">
        <v>194</v>
      </c>
    </row>
    <row r="703" spans="1:5" ht="12.75">
      <c r="A703" s="85">
        <v>543</v>
      </c>
      <c r="B703" s="85">
        <v>0</v>
      </c>
      <c r="C703" s="6" t="s">
        <v>917</v>
      </c>
      <c r="D703" s="6">
        <v>559</v>
      </c>
      <c r="E703" s="3" t="s">
        <v>982</v>
      </c>
    </row>
    <row r="704" spans="1:5" ht="12.75">
      <c r="A704" s="85">
        <v>546</v>
      </c>
      <c r="B704" s="85">
        <v>0</v>
      </c>
      <c r="C704" s="6" t="s">
        <v>917</v>
      </c>
      <c r="D704" s="6">
        <v>559</v>
      </c>
      <c r="E704" s="3" t="s">
        <v>983</v>
      </c>
    </row>
    <row r="705" spans="1:5" ht="12.75">
      <c r="A705" s="85">
        <v>548</v>
      </c>
      <c r="B705" s="85">
        <v>0</v>
      </c>
      <c r="C705" s="6" t="s">
        <v>917</v>
      </c>
      <c r="D705" s="6">
        <v>559</v>
      </c>
      <c r="E705" s="3" t="s">
        <v>984</v>
      </c>
    </row>
    <row r="706" spans="1:5" ht="12.75">
      <c r="A706" s="85">
        <v>544</v>
      </c>
      <c r="B706" s="85">
        <v>0</v>
      </c>
      <c r="C706" s="6" t="s">
        <v>917</v>
      </c>
      <c r="D706" s="6">
        <v>559</v>
      </c>
      <c r="E706" s="3" t="s">
        <v>985</v>
      </c>
    </row>
    <row r="707" spans="1:5" ht="12.75">
      <c r="A707" s="85">
        <v>548</v>
      </c>
      <c r="B707" s="85">
        <v>0</v>
      </c>
      <c r="C707" s="6" t="s">
        <v>917</v>
      </c>
      <c r="D707" s="6">
        <v>559</v>
      </c>
      <c r="E707" s="3" t="s">
        <v>986</v>
      </c>
    </row>
    <row r="708" spans="1:5" ht="12.75">
      <c r="A708" s="85">
        <v>545</v>
      </c>
      <c r="B708" s="85">
        <v>0</v>
      </c>
      <c r="C708" s="6" t="s">
        <v>917</v>
      </c>
      <c r="D708" s="6">
        <v>559</v>
      </c>
      <c r="E708" s="3" t="s">
        <v>987</v>
      </c>
    </row>
    <row r="709" spans="1:5" ht="12.75">
      <c r="A709" s="85">
        <v>550</v>
      </c>
      <c r="B709" s="85">
        <v>0</v>
      </c>
      <c r="C709" s="6" t="s">
        <v>917</v>
      </c>
      <c r="D709" s="6">
        <v>559</v>
      </c>
      <c r="E709" s="3" t="s">
        <v>988</v>
      </c>
    </row>
    <row r="710" spans="1:5" ht="12.75">
      <c r="A710" s="85">
        <v>542</v>
      </c>
      <c r="B710" s="85">
        <v>0</v>
      </c>
      <c r="C710" s="6" t="s">
        <v>917</v>
      </c>
      <c r="D710" s="6">
        <v>559</v>
      </c>
      <c r="E710" s="3" t="s">
        <v>989</v>
      </c>
    </row>
    <row r="711" spans="1:5" ht="12.75">
      <c r="A711" s="85">
        <v>550</v>
      </c>
      <c r="B711" s="85">
        <v>0</v>
      </c>
      <c r="C711" s="6" t="s">
        <v>917</v>
      </c>
      <c r="D711" s="6">
        <v>559</v>
      </c>
      <c r="E711" s="3" t="s">
        <v>990</v>
      </c>
    </row>
    <row r="712" spans="1:5" ht="12.75">
      <c r="A712" s="85">
        <v>548</v>
      </c>
      <c r="B712" s="85">
        <v>0</v>
      </c>
      <c r="C712" s="6" t="s">
        <v>917</v>
      </c>
      <c r="D712" s="6">
        <v>559</v>
      </c>
      <c r="E712" s="3" t="s">
        <v>991</v>
      </c>
    </row>
    <row r="713" spans="1:5" ht="12.75">
      <c r="A713" s="85">
        <v>540.2</v>
      </c>
      <c r="B713" s="85">
        <v>0</v>
      </c>
      <c r="C713" s="6" t="s">
        <v>917</v>
      </c>
      <c r="D713" s="6">
        <v>559</v>
      </c>
      <c r="E713" s="3" t="s">
        <v>725</v>
      </c>
    </row>
    <row r="714" spans="1:7" ht="12.75">
      <c r="A714" s="85">
        <f>540+3</f>
        <v>543</v>
      </c>
      <c r="B714" s="85">
        <v>0</v>
      </c>
      <c r="C714" s="6" t="s">
        <v>917</v>
      </c>
      <c r="D714" s="6">
        <v>559</v>
      </c>
      <c r="E714" s="3" t="s">
        <v>52</v>
      </c>
      <c r="F714" s="133">
        <v>37253</v>
      </c>
      <c r="G714" s="3" t="s">
        <v>568</v>
      </c>
    </row>
    <row r="715" spans="1:7" ht="12.75">
      <c r="A715" s="85">
        <f>540+3</f>
        <v>543</v>
      </c>
      <c r="B715" s="85">
        <v>0</v>
      </c>
      <c r="C715" s="6" t="s">
        <v>917</v>
      </c>
      <c r="D715" s="6">
        <v>559</v>
      </c>
      <c r="E715" s="3" t="s">
        <v>53</v>
      </c>
      <c r="F715" s="133">
        <v>37253</v>
      </c>
      <c r="G715" s="3" t="s">
        <v>568</v>
      </c>
    </row>
    <row r="716" spans="1:7" ht="12.75">
      <c r="A716" s="85">
        <v>548</v>
      </c>
      <c r="B716" s="85">
        <v>0</v>
      </c>
      <c r="C716" s="6" t="s">
        <v>917</v>
      </c>
      <c r="D716" s="6">
        <v>559</v>
      </c>
      <c r="E716" s="3" t="s">
        <v>222</v>
      </c>
      <c r="F716" s="133">
        <v>38304</v>
      </c>
      <c r="G716" s="3" t="s">
        <v>194</v>
      </c>
    </row>
    <row r="717" spans="1:7" ht="12.75">
      <c r="A717" s="85">
        <f>540.5+3</f>
        <v>543.5</v>
      </c>
      <c r="B717" s="85">
        <v>0</v>
      </c>
      <c r="C717" s="6" t="s">
        <v>917</v>
      </c>
      <c r="D717" s="6">
        <v>559</v>
      </c>
      <c r="E717" s="3" t="s">
        <v>54</v>
      </c>
      <c r="F717" s="133">
        <v>37253</v>
      </c>
      <c r="G717" s="3" t="s">
        <v>568</v>
      </c>
    </row>
    <row r="718" spans="1:7" ht="12.75">
      <c r="A718" s="85">
        <f>539.5+3</f>
        <v>542.5</v>
      </c>
      <c r="B718" s="85">
        <v>0</v>
      </c>
      <c r="C718" s="6" t="s">
        <v>917</v>
      </c>
      <c r="D718" s="6">
        <v>559</v>
      </c>
      <c r="E718" s="3" t="s">
        <v>55</v>
      </c>
      <c r="F718" s="133">
        <v>37253</v>
      </c>
      <c r="G718" s="3" t="s">
        <v>568</v>
      </c>
    </row>
    <row r="719" spans="1:7" ht="12.75">
      <c r="A719" s="85">
        <f>539.5+3</f>
        <v>542.5</v>
      </c>
      <c r="B719" s="85">
        <v>0</v>
      </c>
      <c r="C719" s="6" t="s">
        <v>917</v>
      </c>
      <c r="D719" s="6">
        <v>559</v>
      </c>
      <c r="E719" s="3" t="s">
        <v>56</v>
      </c>
      <c r="F719" s="133">
        <v>37253</v>
      </c>
      <c r="G719" s="3" t="s">
        <v>568</v>
      </c>
    </row>
    <row r="720" spans="1:7" ht="12.75">
      <c r="A720" s="85">
        <f>536+3</f>
        <v>539</v>
      </c>
      <c r="B720" s="85">
        <v>0</v>
      </c>
      <c r="C720" s="6" t="s">
        <v>917</v>
      </c>
      <c r="D720" s="6">
        <v>559</v>
      </c>
      <c r="E720" s="3" t="s">
        <v>57</v>
      </c>
      <c r="F720" s="133">
        <v>37253</v>
      </c>
      <c r="G720" s="3" t="s">
        <v>568</v>
      </c>
    </row>
    <row r="721" spans="1:7" ht="12.75">
      <c r="A721" s="85">
        <v>540.5</v>
      </c>
      <c r="B721" s="85">
        <v>0</v>
      </c>
      <c r="C721" s="6" t="s">
        <v>917</v>
      </c>
      <c r="D721" s="6">
        <v>559</v>
      </c>
      <c r="E721" s="3" t="s">
        <v>223</v>
      </c>
      <c r="F721" s="133">
        <v>38304</v>
      </c>
      <c r="G721" s="3" t="s">
        <v>194</v>
      </c>
    </row>
    <row r="722" spans="1:7" ht="12.75">
      <c r="A722" s="85">
        <v>534.5</v>
      </c>
      <c r="B722" s="85">
        <v>0</v>
      </c>
      <c r="C722" s="6" t="s">
        <v>917</v>
      </c>
      <c r="D722" s="6">
        <v>559</v>
      </c>
      <c r="E722" s="3" t="s">
        <v>224</v>
      </c>
      <c r="F722" s="133">
        <v>38304</v>
      </c>
      <c r="G722" s="3" t="s">
        <v>194</v>
      </c>
    </row>
    <row r="723" spans="1:7" ht="12.75">
      <c r="A723" s="85">
        <v>534.5</v>
      </c>
      <c r="B723" s="85">
        <v>0</v>
      </c>
      <c r="C723" s="6" t="s">
        <v>917</v>
      </c>
      <c r="D723" s="6">
        <v>559</v>
      </c>
      <c r="E723" s="3" t="s">
        <v>225</v>
      </c>
      <c r="F723" s="133">
        <v>38304</v>
      </c>
      <c r="G723" s="3" t="s">
        <v>194</v>
      </c>
    </row>
    <row r="724" spans="1:7" ht="12.75">
      <c r="A724" s="85">
        <v>532</v>
      </c>
      <c r="B724" s="85">
        <v>0</v>
      </c>
      <c r="C724" s="6" t="s">
        <v>917</v>
      </c>
      <c r="D724" s="6">
        <v>559</v>
      </c>
      <c r="E724" s="3" t="s">
        <v>607</v>
      </c>
      <c r="F724" s="133">
        <v>37307</v>
      </c>
      <c r="G724" s="3" t="s">
        <v>1237</v>
      </c>
    </row>
    <row r="725" spans="1:7" ht="12.75">
      <c r="A725" s="85">
        <f>538.5+3</f>
        <v>541.5</v>
      </c>
      <c r="B725" s="85">
        <v>0</v>
      </c>
      <c r="C725" s="6" t="s">
        <v>917</v>
      </c>
      <c r="D725" s="6">
        <v>559</v>
      </c>
      <c r="E725" s="3" t="s">
        <v>58</v>
      </c>
      <c r="F725" s="133">
        <v>37253</v>
      </c>
      <c r="G725" s="3" t="s">
        <v>568</v>
      </c>
    </row>
    <row r="726" spans="1:7" ht="12.75">
      <c r="A726" s="85">
        <f>537.5+3</f>
        <v>540.5</v>
      </c>
      <c r="B726" s="85">
        <v>0</v>
      </c>
      <c r="C726" s="6" t="s">
        <v>917</v>
      </c>
      <c r="D726" s="6">
        <v>559</v>
      </c>
      <c r="E726" s="3" t="s">
        <v>59</v>
      </c>
      <c r="F726" s="133">
        <v>37253</v>
      </c>
      <c r="G726" s="3" t="s">
        <v>568</v>
      </c>
    </row>
    <row r="727" spans="1:7" ht="12.75">
      <c r="A727" s="85">
        <v>541</v>
      </c>
      <c r="B727" s="85">
        <v>0</v>
      </c>
      <c r="C727" s="6" t="s">
        <v>917</v>
      </c>
      <c r="D727" s="6">
        <v>559</v>
      </c>
      <c r="E727" s="3" t="s">
        <v>226</v>
      </c>
      <c r="F727" s="133">
        <v>38304</v>
      </c>
      <c r="G727" s="3" t="s">
        <v>194</v>
      </c>
    </row>
    <row r="728" spans="1:7" ht="12.75">
      <c r="A728" s="85">
        <v>541</v>
      </c>
      <c r="B728" s="85">
        <v>0</v>
      </c>
      <c r="C728" s="6" t="s">
        <v>917</v>
      </c>
      <c r="D728" s="6">
        <v>559</v>
      </c>
      <c r="E728" s="3" t="s">
        <v>227</v>
      </c>
      <c r="F728" s="133">
        <v>38304</v>
      </c>
      <c r="G728" s="3" t="s">
        <v>194</v>
      </c>
    </row>
    <row r="729" spans="1:7" ht="12.75">
      <c r="A729" s="85">
        <v>541</v>
      </c>
      <c r="B729" s="85">
        <v>0</v>
      </c>
      <c r="C729" s="6" t="s">
        <v>917</v>
      </c>
      <c r="D729" s="6">
        <v>559</v>
      </c>
      <c r="E729" s="3" t="s">
        <v>229</v>
      </c>
      <c r="F729" s="133">
        <v>38304</v>
      </c>
      <c r="G729" s="3" t="s">
        <v>194</v>
      </c>
    </row>
    <row r="730" spans="1:7" ht="12.75">
      <c r="A730" s="85">
        <v>541</v>
      </c>
      <c r="B730" s="85">
        <v>0</v>
      </c>
      <c r="C730" s="6" t="s">
        <v>917</v>
      </c>
      <c r="D730" s="6">
        <v>559</v>
      </c>
      <c r="E730" s="3" t="s">
        <v>228</v>
      </c>
      <c r="F730" s="133">
        <v>38304</v>
      </c>
      <c r="G730" s="3" t="s">
        <v>194</v>
      </c>
    </row>
    <row r="731" spans="1:7" ht="12.75">
      <c r="A731" s="85">
        <v>542.5</v>
      </c>
      <c r="B731" s="85">
        <v>0</v>
      </c>
      <c r="C731" s="6" t="s">
        <v>917</v>
      </c>
      <c r="D731" s="6">
        <v>559</v>
      </c>
      <c r="E731" s="3" t="s">
        <v>230</v>
      </c>
      <c r="F731" s="133">
        <v>38304</v>
      </c>
      <c r="G731" s="3" t="s">
        <v>194</v>
      </c>
    </row>
    <row r="732" spans="1:7" ht="12.75">
      <c r="A732" s="85">
        <v>548</v>
      </c>
      <c r="B732" s="85">
        <v>0</v>
      </c>
      <c r="C732" s="6" t="s">
        <v>917</v>
      </c>
      <c r="D732" s="6">
        <v>559</v>
      </c>
      <c r="E732" s="3" t="s">
        <v>231</v>
      </c>
      <c r="F732" s="133">
        <v>38304</v>
      </c>
      <c r="G732" s="3" t="s">
        <v>194</v>
      </c>
    </row>
    <row r="733" spans="1:7" ht="12.75">
      <c r="A733" s="85">
        <v>538.5</v>
      </c>
      <c r="B733" s="85">
        <v>0</v>
      </c>
      <c r="C733" s="6" t="s">
        <v>917</v>
      </c>
      <c r="D733" s="6">
        <v>559</v>
      </c>
      <c r="E733" s="3" t="s">
        <v>232</v>
      </c>
      <c r="F733" s="133">
        <v>38304</v>
      </c>
      <c r="G733" s="3" t="s">
        <v>194</v>
      </c>
    </row>
    <row r="734" spans="1:7" ht="12.75">
      <c r="A734" s="85">
        <v>538.5</v>
      </c>
      <c r="B734" s="85">
        <v>0</v>
      </c>
      <c r="C734" s="6" t="s">
        <v>917</v>
      </c>
      <c r="D734" s="6">
        <v>559</v>
      </c>
      <c r="E734" s="3" t="s">
        <v>233</v>
      </c>
      <c r="F734" s="133">
        <v>38304</v>
      </c>
      <c r="G734" s="3" t="s">
        <v>194</v>
      </c>
    </row>
    <row r="735" spans="1:7" ht="12.75">
      <c r="A735" s="85">
        <v>540.5</v>
      </c>
      <c r="B735" s="85">
        <v>0</v>
      </c>
      <c r="C735" s="6" t="s">
        <v>917</v>
      </c>
      <c r="D735" s="6">
        <v>559</v>
      </c>
      <c r="E735" s="3" t="s">
        <v>234</v>
      </c>
      <c r="F735" s="133">
        <v>38304</v>
      </c>
      <c r="G735" s="3" t="s">
        <v>194</v>
      </c>
    </row>
    <row r="736" spans="1:7" ht="12.75">
      <c r="A736" s="85">
        <v>538.5</v>
      </c>
      <c r="B736" s="85">
        <v>0</v>
      </c>
      <c r="C736" s="6" t="s">
        <v>917</v>
      </c>
      <c r="D736" s="6">
        <v>559</v>
      </c>
      <c r="E736" s="3" t="s">
        <v>235</v>
      </c>
      <c r="F736" s="133">
        <v>38304</v>
      </c>
      <c r="G736" s="3" t="s">
        <v>194</v>
      </c>
    </row>
    <row r="737" spans="1:7" ht="12.75">
      <c r="A737" s="85">
        <v>534.5</v>
      </c>
      <c r="B737" s="85">
        <v>0</v>
      </c>
      <c r="C737" s="6" t="s">
        <v>917</v>
      </c>
      <c r="D737" s="6">
        <v>559</v>
      </c>
      <c r="E737" s="3" t="s">
        <v>236</v>
      </c>
      <c r="F737" s="133">
        <v>38304</v>
      </c>
      <c r="G737" s="3" t="s">
        <v>194</v>
      </c>
    </row>
    <row r="738" spans="1:7" ht="12.75">
      <c r="A738" s="85">
        <v>534.5</v>
      </c>
      <c r="B738" s="85">
        <v>0</v>
      </c>
      <c r="C738" s="6" t="s">
        <v>917</v>
      </c>
      <c r="D738" s="6">
        <v>559</v>
      </c>
      <c r="E738" s="3" t="s">
        <v>237</v>
      </c>
      <c r="F738" s="133">
        <v>38304</v>
      </c>
      <c r="G738" s="3" t="s">
        <v>194</v>
      </c>
    </row>
    <row r="739" spans="1:7" ht="12.75">
      <c r="A739" s="85">
        <v>540</v>
      </c>
      <c r="B739" s="85">
        <v>0</v>
      </c>
      <c r="C739" s="6" t="s">
        <v>917</v>
      </c>
      <c r="D739" s="6">
        <v>559</v>
      </c>
      <c r="E739" s="3" t="s">
        <v>1321</v>
      </c>
      <c r="F739" s="133">
        <v>39053</v>
      </c>
      <c r="G739" s="3" t="s">
        <v>1322</v>
      </c>
    </row>
    <row r="740" spans="1:7" ht="12.75">
      <c r="A740" s="85">
        <v>545</v>
      </c>
      <c r="B740" s="85">
        <v>0</v>
      </c>
      <c r="C740" s="6" t="s">
        <v>917</v>
      </c>
      <c r="D740" s="6">
        <v>559</v>
      </c>
      <c r="E740" s="3" t="s">
        <v>1324</v>
      </c>
      <c r="F740" s="133">
        <v>39053</v>
      </c>
      <c r="G740" s="3" t="s">
        <v>1322</v>
      </c>
    </row>
    <row r="741" spans="1:7" ht="12.75">
      <c r="A741" s="85">
        <v>536</v>
      </c>
      <c r="B741" s="85">
        <v>0</v>
      </c>
      <c r="C741" s="6" t="s">
        <v>917</v>
      </c>
      <c r="D741" s="6">
        <v>559</v>
      </c>
      <c r="E741" s="3" t="s">
        <v>1323</v>
      </c>
      <c r="F741" s="133">
        <v>39053</v>
      </c>
      <c r="G741" s="3" t="s">
        <v>1322</v>
      </c>
    </row>
    <row r="742" spans="1:7" ht="12.75">
      <c r="A742" s="85">
        <f>538+3</f>
        <v>541</v>
      </c>
      <c r="B742" s="85">
        <v>0</v>
      </c>
      <c r="C742" s="6" t="s">
        <v>917</v>
      </c>
      <c r="D742" s="6">
        <v>559</v>
      </c>
      <c r="E742" s="3" t="s">
        <v>1619</v>
      </c>
      <c r="G742" s="3" t="s">
        <v>157</v>
      </c>
    </row>
    <row r="743" spans="1:7" ht="12.75">
      <c r="A743" s="85">
        <f>545.4+3</f>
        <v>548.4</v>
      </c>
      <c r="B743" s="85">
        <v>0</v>
      </c>
      <c r="C743" s="6" t="s">
        <v>917</v>
      </c>
      <c r="D743" s="6">
        <v>559</v>
      </c>
      <c r="E743" s="3" t="s">
        <v>1620</v>
      </c>
      <c r="F743" s="133">
        <v>37254</v>
      </c>
      <c r="G743" s="3" t="s">
        <v>157</v>
      </c>
    </row>
    <row r="744" spans="1:7" ht="12.75">
      <c r="A744" s="85">
        <f>545.4+3</f>
        <v>548.4</v>
      </c>
      <c r="B744" s="85">
        <v>0</v>
      </c>
      <c r="C744" s="6" t="s">
        <v>917</v>
      </c>
      <c r="D744" s="6">
        <v>559</v>
      </c>
      <c r="E744" s="3" t="s">
        <v>1615</v>
      </c>
      <c r="F744" s="133">
        <v>37254</v>
      </c>
      <c r="G744" s="3" t="s">
        <v>157</v>
      </c>
    </row>
    <row r="745" spans="1:7" ht="12.75">
      <c r="A745" s="85">
        <f>536.85+3</f>
        <v>539.85</v>
      </c>
      <c r="B745" s="85">
        <v>0</v>
      </c>
      <c r="C745" s="6" t="s">
        <v>917</v>
      </c>
      <c r="D745" s="6">
        <v>559</v>
      </c>
      <c r="E745" s="3" t="s">
        <v>1618</v>
      </c>
      <c r="F745" s="133">
        <v>37254</v>
      </c>
      <c r="G745" s="3" t="s">
        <v>157</v>
      </c>
    </row>
    <row r="746" spans="1:7" ht="12.75">
      <c r="A746" s="85">
        <f>518+3</f>
        <v>521</v>
      </c>
      <c r="B746" s="85">
        <v>0</v>
      </c>
      <c r="C746" s="6" t="s">
        <v>917</v>
      </c>
      <c r="D746" s="6">
        <v>559</v>
      </c>
      <c r="E746" s="3" t="s">
        <v>1621</v>
      </c>
      <c r="F746" s="133">
        <v>37254</v>
      </c>
      <c r="G746" s="3" t="s">
        <v>157</v>
      </c>
    </row>
    <row r="747" spans="1:7" ht="12.75">
      <c r="A747" s="85">
        <f>516.6+3</f>
        <v>519.6</v>
      </c>
      <c r="B747" s="85">
        <v>0</v>
      </c>
      <c r="C747" s="6" t="s">
        <v>917</v>
      </c>
      <c r="D747" s="6">
        <v>559</v>
      </c>
      <c r="E747" s="3" t="s">
        <v>1622</v>
      </c>
      <c r="G747" s="3" t="s">
        <v>157</v>
      </c>
    </row>
    <row r="748" spans="1:7" ht="12.75">
      <c r="A748" s="85">
        <f>529+3</f>
        <v>532</v>
      </c>
      <c r="B748" s="85">
        <v>0</v>
      </c>
      <c r="C748" s="6" t="s">
        <v>917</v>
      </c>
      <c r="D748" s="6">
        <v>559</v>
      </c>
      <c r="E748" s="3" t="s">
        <v>1623</v>
      </c>
      <c r="F748" s="133">
        <v>37254</v>
      </c>
      <c r="G748" s="3" t="s">
        <v>157</v>
      </c>
    </row>
    <row r="749" spans="1:7" ht="12.75">
      <c r="A749" s="85">
        <f>531+3</f>
        <v>534</v>
      </c>
      <c r="B749" s="85">
        <v>0</v>
      </c>
      <c r="C749" s="6" t="s">
        <v>917</v>
      </c>
      <c r="D749" s="6">
        <v>559</v>
      </c>
      <c r="E749" s="3" t="s">
        <v>1624</v>
      </c>
      <c r="F749" s="133">
        <v>37254</v>
      </c>
      <c r="G749" s="3" t="s">
        <v>157</v>
      </c>
    </row>
    <row r="750" spans="1:7" ht="12.75">
      <c r="A750" s="85">
        <f>541.1+3</f>
        <v>544.1</v>
      </c>
      <c r="B750" s="85">
        <v>0</v>
      </c>
      <c r="C750" s="6" t="s">
        <v>917</v>
      </c>
      <c r="D750" s="6">
        <v>559</v>
      </c>
      <c r="E750" s="3" t="s">
        <v>1625</v>
      </c>
      <c r="F750" s="133">
        <v>37254</v>
      </c>
      <c r="G750" s="3" t="s">
        <v>157</v>
      </c>
    </row>
    <row r="751" spans="1:7" ht="12.75">
      <c r="A751" s="85">
        <f>536.6+3</f>
        <v>539.6</v>
      </c>
      <c r="B751" s="85">
        <v>0</v>
      </c>
      <c r="C751" s="6" t="s">
        <v>917</v>
      </c>
      <c r="D751" s="6">
        <v>559</v>
      </c>
      <c r="E751" s="3" t="s">
        <v>1626</v>
      </c>
      <c r="F751" s="133">
        <v>37254</v>
      </c>
      <c r="G751" s="3" t="s">
        <v>157</v>
      </c>
    </row>
    <row r="752" spans="1:7" ht="12.75">
      <c r="A752" s="85">
        <f>544.4+3</f>
        <v>547.4</v>
      </c>
      <c r="B752" s="85">
        <v>0</v>
      </c>
      <c r="C752" s="6" t="s">
        <v>917</v>
      </c>
      <c r="D752" s="6">
        <v>559</v>
      </c>
      <c r="E752" s="3" t="s">
        <v>1627</v>
      </c>
      <c r="F752" s="133">
        <v>37254</v>
      </c>
      <c r="G752" s="3" t="s">
        <v>157</v>
      </c>
    </row>
    <row r="753" spans="1:7" ht="12.75">
      <c r="A753" s="85">
        <f>546+3</f>
        <v>549</v>
      </c>
      <c r="B753" s="85">
        <v>0</v>
      </c>
      <c r="C753" s="6" t="s">
        <v>917</v>
      </c>
      <c r="D753" s="6">
        <v>559</v>
      </c>
      <c r="E753" s="3" t="s">
        <v>1613</v>
      </c>
      <c r="F753" s="133">
        <v>37254</v>
      </c>
      <c r="G753" s="3" t="s">
        <v>157</v>
      </c>
    </row>
    <row r="754" spans="1:7" ht="12.75">
      <c r="A754" s="85">
        <f>546+3</f>
        <v>549</v>
      </c>
      <c r="B754" s="85">
        <v>0</v>
      </c>
      <c r="C754" s="6" t="s">
        <v>917</v>
      </c>
      <c r="D754" s="6">
        <v>559</v>
      </c>
      <c r="E754" s="3" t="s">
        <v>1614</v>
      </c>
      <c r="F754" s="133">
        <v>37254</v>
      </c>
      <c r="G754" s="3" t="s">
        <v>157</v>
      </c>
    </row>
    <row r="755" spans="1:7" ht="12.75">
      <c r="A755" s="85">
        <f>544.1+3</f>
        <v>547.1</v>
      </c>
      <c r="B755" s="85">
        <v>0</v>
      </c>
      <c r="C755" s="6" t="s">
        <v>917</v>
      </c>
      <c r="D755" s="6">
        <v>559</v>
      </c>
      <c r="E755" s="3" t="s">
        <v>1628</v>
      </c>
      <c r="F755" s="133">
        <v>37254</v>
      </c>
      <c r="G755" s="3" t="s">
        <v>157</v>
      </c>
    </row>
    <row r="756" spans="1:7" ht="12.75">
      <c r="A756" s="85">
        <f>544.1+3</f>
        <v>547.1</v>
      </c>
      <c r="B756" s="85">
        <v>0</v>
      </c>
      <c r="C756" s="6" t="s">
        <v>917</v>
      </c>
      <c r="D756" s="6">
        <v>559</v>
      </c>
      <c r="E756" s="3" t="s">
        <v>1629</v>
      </c>
      <c r="F756" s="133">
        <v>37254</v>
      </c>
      <c r="G756" s="3" t="s">
        <v>157</v>
      </c>
    </row>
    <row r="757" spans="1:7" ht="12.75">
      <c r="A757" s="85">
        <f>528.9+3</f>
        <v>531.9</v>
      </c>
      <c r="B757" s="85">
        <v>0</v>
      </c>
      <c r="C757" s="6" t="s">
        <v>917</v>
      </c>
      <c r="D757" s="6">
        <v>559</v>
      </c>
      <c r="E757" s="3" t="s">
        <v>1630</v>
      </c>
      <c r="F757" s="133">
        <v>37254</v>
      </c>
      <c r="G757" s="3" t="s">
        <v>157</v>
      </c>
    </row>
    <row r="758" spans="1:7" ht="12.75">
      <c r="A758" s="85">
        <f>544.4+3</f>
        <v>547.4</v>
      </c>
      <c r="B758" s="85">
        <v>0</v>
      </c>
      <c r="C758" s="6" t="s">
        <v>917</v>
      </c>
      <c r="D758" s="6">
        <v>559</v>
      </c>
      <c r="E758" s="3" t="s">
        <v>1631</v>
      </c>
      <c r="F758" s="133">
        <v>37254</v>
      </c>
      <c r="G758" s="3" t="s">
        <v>157</v>
      </c>
    </row>
    <row r="759" spans="1:7" ht="12.75">
      <c r="A759" s="85">
        <f>538+3</f>
        <v>541</v>
      </c>
      <c r="B759" s="85">
        <v>0</v>
      </c>
      <c r="C759" s="6" t="s">
        <v>917</v>
      </c>
      <c r="D759" s="6">
        <v>559</v>
      </c>
      <c r="E759" s="3" t="s">
        <v>1633</v>
      </c>
      <c r="F759" s="133">
        <v>37254</v>
      </c>
      <c r="G759" s="3" t="s">
        <v>157</v>
      </c>
    </row>
    <row r="760" spans="1:7" ht="12.75">
      <c r="A760" s="85">
        <f>544.4+3</f>
        <v>547.4</v>
      </c>
      <c r="B760" s="85">
        <v>0</v>
      </c>
      <c r="C760" s="6" t="s">
        <v>917</v>
      </c>
      <c r="D760" s="6">
        <v>559</v>
      </c>
      <c r="E760" s="3" t="s">
        <v>1634</v>
      </c>
      <c r="F760" s="133">
        <v>37254</v>
      </c>
      <c r="G760" s="3" t="s">
        <v>157</v>
      </c>
    </row>
    <row r="761" spans="1:7" ht="12.75">
      <c r="A761" s="85">
        <f>544+3</f>
        <v>547</v>
      </c>
      <c r="B761" s="85">
        <v>0</v>
      </c>
      <c r="C761" s="6" t="s">
        <v>917</v>
      </c>
      <c r="D761" s="6">
        <v>559</v>
      </c>
      <c r="E761" s="3" t="s">
        <v>1635</v>
      </c>
      <c r="F761" s="133">
        <v>37254</v>
      </c>
      <c r="G761" s="3" t="s">
        <v>157</v>
      </c>
    </row>
    <row r="762" spans="1:5" ht="12.75">
      <c r="A762" s="85">
        <v>549</v>
      </c>
      <c r="B762" s="85">
        <v>0</v>
      </c>
      <c r="C762" s="6" t="s">
        <v>917</v>
      </c>
      <c r="D762" s="6">
        <v>559</v>
      </c>
      <c r="E762" s="3" t="s">
        <v>992</v>
      </c>
    </row>
    <row r="763" spans="1:7" ht="12.75">
      <c r="A763" s="85">
        <f>540.4+3</f>
        <v>543.4</v>
      </c>
      <c r="B763" s="85">
        <v>0</v>
      </c>
      <c r="C763" s="6" t="s">
        <v>917</v>
      </c>
      <c r="D763" s="6">
        <v>559</v>
      </c>
      <c r="E763" s="3" t="s">
        <v>1636</v>
      </c>
      <c r="F763" s="133">
        <v>37254</v>
      </c>
      <c r="G763" s="3" t="s">
        <v>157</v>
      </c>
    </row>
    <row r="764" spans="1:7" ht="12.75">
      <c r="A764" s="85">
        <f>537.1+3</f>
        <v>540.1</v>
      </c>
      <c r="B764" s="85">
        <v>0</v>
      </c>
      <c r="C764" s="6" t="s">
        <v>917</v>
      </c>
      <c r="D764" s="6">
        <v>559</v>
      </c>
      <c r="E764" s="3" t="s">
        <v>1637</v>
      </c>
      <c r="F764" s="133">
        <v>37254</v>
      </c>
      <c r="G764" s="3" t="s">
        <v>157</v>
      </c>
    </row>
    <row r="765" spans="1:7" ht="12.75">
      <c r="A765" s="85">
        <f>536.9+3</f>
        <v>539.9</v>
      </c>
      <c r="B765" s="85">
        <v>0</v>
      </c>
      <c r="C765" s="6" t="s">
        <v>917</v>
      </c>
      <c r="D765" s="6">
        <v>559</v>
      </c>
      <c r="E765" s="3" t="s">
        <v>0</v>
      </c>
      <c r="F765" s="133">
        <v>37254</v>
      </c>
      <c r="G765" s="3" t="s">
        <v>157</v>
      </c>
    </row>
    <row r="766" spans="1:7" ht="12.75">
      <c r="A766" s="85">
        <f>536.9+3</f>
        <v>539.9</v>
      </c>
      <c r="B766" s="85">
        <v>0</v>
      </c>
      <c r="C766" s="6" t="s">
        <v>917</v>
      </c>
      <c r="D766" s="6">
        <v>559</v>
      </c>
      <c r="E766" s="3" t="s">
        <v>1</v>
      </c>
      <c r="F766" s="133">
        <v>37254</v>
      </c>
      <c r="G766" s="3" t="s">
        <v>157</v>
      </c>
    </row>
    <row r="767" spans="1:7" ht="12.75">
      <c r="A767" s="85">
        <f>540.2+3</f>
        <v>543.2</v>
      </c>
      <c r="B767" s="85">
        <v>0</v>
      </c>
      <c r="C767" s="6" t="s">
        <v>917</v>
      </c>
      <c r="D767" s="6">
        <v>559</v>
      </c>
      <c r="E767" s="3" t="s">
        <v>2</v>
      </c>
      <c r="F767" s="133">
        <v>37254</v>
      </c>
      <c r="G767" s="3" t="s">
        <v>157</v>
      </c>
    </row>
    <row r="768" spans="1:7" ht="12.75">
      <c r="A768" s="85">
        <f>534.2+3</f>
        <v>537.2</v>
      </c>
      <c r="B768" s="85">
        <v>0</v>
      </c>
      <c r="C768" s="6" t="s">
        <v>917</v>
      </c>
      <c r="D768" s="6">
        <v>559</v>
      </c>
      <c r="E768" s="3" t="s">
        <v>3</v>
      </c>
      <c r="F768" s="133">
        <v>37254</v>
      </c>
      <c r="G768" s="3" t="s">
        <v>157</v>
      </c>
    </row>
    <row r="769" spans="1:7" ht="12.75">
      <c r="A769" s="85">
        <f>526.4+3</f>
        <v>529.4</v>
      </c>
      <c r="B769" s="85">
        <v>0</v>
      </c>
      <c r="C769" s="6" t="s">
        <v>917</v>
      </c>
      <c r="D769" s="6">
        <v>559</v>
      </c>
      <c r="E769" s="3" t="s">
        <v>1616</v>
      </c>
      <c r="F769" s="133">
        <v>37254</v>
      </c>
      <c r="G769" s="3" t="s">
        <v>157</v>
      </c>
    </row>
    <row r="770" spans="1:7" ht="12.75">
      <c r="A770" s="85">
        <f>540.8+3</f>
        <v>543.8</v>
      </c>
      <c r="B770" s="85">
        <v>0</v>
      </c>
      <c r="C770" s="6" t="s">
        <v>917</v>
      </c>
      <c r="D770" s="6">
        <v>559</v>
      </c>
      <c r="E770" s="3" t="s">
        <v>4</v>
      </c>
      <c r="F770" s="133">
        <v>37254</v>
      </c>
      <c r="G770" s="3" t="s">
        <v>157</v>
      </c>
    </row>
    <row r="771" spans="1:7" ht="12.75">
      <c r="A771" s="85">
        <f>533.5+3</f>
        <v>536.5</v>
      </c>
      <c r="B771" s="85">
        <v>0</v>
      </c>
      <c r="C771" s="6" t="s">
        <v>917</v>
      </c>
      <c r="D771" s="6">
        <v>559</v>
      </c>
      <c r="E771" s="3" t="s">
        <v>173</v>
      </c>
      <c r="F771" s="133">
        <v>37254</v>
      </c>
      <c r="G771" s="3" t="s">
        <v>157</v>
      </c>
    </row>
    <row r="772" spans="1:7" ht="12.75">
      <c r="A772" s="85">
        <f>541+3</f>
        <v>544</v>
      </c>
      <c r="B772" s="85">
        <v>0</v>
      </c>
      <c r="C772" s="6" t="s">
        <v>917</v>
      </c>
      <c r="D772" s="6">
        <v>559</v>
      </c>
      <c r="E772" s="3" t="s">
        <v>5</v>
      </c>
      <c r="F772" s="133">
        <v>37254</v>
      </c>
      <c r="G772" s="3" t="s">
        <v>157</v>
      </c>
    </row>
    <row r="773" spans="1:5" ht="12.75">
      <c r="A773" s="85">
        <f>543+3</f>
        <v>546</v>
      </c>
      <c r="B773" s="85">
        <v>2.5</v>
      </c>
      <c r="C773" s="6" t="s">
        <v>917</v>
      </c>
      <c r="D773" s="6">
        <v>559</v>
      </c>
      <c r="E773" s="3" t="s">
        <v>70</v>
      </c>
    </row>
    <row r="774" spans="1:5" ht="12.75">
      <c r="A774" s="85">
        <f>542+3</f>
        <v>545</v>
      </c>
      <c r="B774" s="85">
        <v>2.5</v>
      </c>
      <c r="C774" s="6" t="s">
        <v>917</v>
      </c>
      <c r="D774" s="6">
        <v>559</v>
      </c>
      <c r="E774" s="3" t="s">
        <v>71</v>
      </c>
    </row>
    <row r="775" spans="1:5" ht="12.75">
      <c r="A775" s="85">
        <f>542+3</f>
        <v>545</v>
      </c>
      <c r="B775" s="85">
        <v>2.5</v>
      </c>
      <c r="C775" s="6" t="s">
        <v>917</v>
      </c>
      <c r="D775" s="6">
        <v>559</v>
      </c>
      <c r="E775" s="3" t="s">
        <v>72</v>
      </c>
    </row>
    <row r="776" spans="1:5" ht="12.75">
      <c r="A776" s="85">
        <f>542+3</f>
        <v>545</v>
      </c>
      <c r="B776" s="85">
        <v>2.5</v>
      </c>
      <c r="C776" s="6" t="s">
        <v>917</v>
      </c>
      <c r="D776" s="6">
        <v>559</v>
      </c>
      <c r="E776" s="3" t="s">
        <v>73</v>
      </c>
    </row>
    <row r="777" spans="1:5" ht="12.75">
      <c r="A777" s="85">
        <v>546</v>
      </c>
      <c r="B777" s="85">
        <v>0</v>
      </c>
      <c r="C777" s="6" t="s">
        <v>917</v>
      </c>
      <c r="D777" s="6">
        <v>559</v>
      </c>
      <c r="E777" s="3" t="s">
        <v>993</v>
      </c>
    </row>
    <row r="778" spans="1:5" ht="12.75">
      <c r="A778" s="85">
        <v>546</v>
      </c>
      <c r="B778" s="85">
        <v>0</v>
      </c>
      <c r="C778" s="6" t="s">
        <v>917</v>
      </c>
      <c r="D778" s="6">
        <v>559</v>
      </c>
      <c r="E778" s="3" t="s">
        <v>994</v>
      </c>
    </row>
    <row r="779" spans="1:5" ht="12.75">
      <c r="A779" s="85">
        <v>546</v>
      </c>
      <c r="B779" s="85">
        <v>0</v>
      </c>
      <c r="C779" s="6" t="s">
        <v>917</v>
      </c>
      <c r="D779" s="6">
        <v>559</v>
      </c>
      <c r="E779" s="3" t="s">
        <v>995</v>
      </c>
    </row>
    <row r="780" spans="1:5" ht="12.75">
      <c r="A780" s="85">
        <f>544+4</f>
        <v>548</v>
      </c>
      <c r="B780" s="85">
        <v>0</v>
      </c>
      <c r="C780" s="6" t="s">
        <v>917</v>
      </c>
      <c r="D780" s="6">
        <v>559</v>
      </c>
      <c r="E780" s="3" t="s">
        <v>74</v>
      </c>
    </row>
    <row r="781" spans="1:5" ht="12.75">
      <c r="A781" s="85">
        <f>544+4</f>
        <v>548</v>
      </c>
      <c r="B781" s="85">
        <v>0</v>
      </c>
      <c r="C781" s="6" t="s">
        <v>917</v>
      </c>
      <c r="D781" s="6">
        <v>559</v>
      </c>
      <c r="E781" s="3" t="s">
        <v>75</v>
      </c>
    </row>
    <row r="782" spans="1:5" ht="12.75">
      <c r="A782" s="85">
        <f>544+4</f>
        <v>548</v>
      </c>
      <c r="B782" s="85">
        <v>0</v>
      </c>
      <c r="C782" s="6" t="s">
        <v>917</v>
      </c>
      <c r="D782" s="6">
        <v>559</v>
      </c>
      <c r="E782" s="3" t="s">
        <v>76</v>
      </c>
    </row>
    <row r="783" spans="1:5" ht="12.75">
      <c r="A783" s="85">
        <v>548</v>
      </c>
      <c r="B783" s="85">
        <v>0</v>
      </c>
      <c r="C783" s="6" t="s">
        <v>917</v>
      </c>
      <c r="D783" s="6">
        <v>559</v>
      </c>
      <c r="E783" s="3" t="s">
        <v>734</v>
      </c>
    </row>
    <row r="784" spans="1:5" ht="12.75">
      <c r="A784" s="85">
        <v>549</v>
      </c>
      <c r="B784" s="85">
        <v>0</v>
      </c>
      <c r="C784" s="6" t="s">
        <v>917</v>
      </c>
      <c r="D784" s="6">
        <v>559</v>
      </c>
      <c r="E784" s="3" t="s">
        <v>735</v>
      </c>
    </row>
    <row r="785" spans="1:5" ht="12.75">
      <c r="A785" s="85">
        <v>544</v>
      </c>
      <c r="B785" s="85">
        <v>0</v>
      </c>
      <c r="C785" s="6" t="s">
        <v>917</v>
      </c>
      <c r="D785" s="6">
        <v>559</v>
      </c>
      <c r="E785" s="3" t="s">
        <v>996</v>
      </c>
    </row>
    <row r="786" spans="1:5" ht="12.75">
      <c r="A786" s="85">
        <v>545</v>
      </c>
      <c r="B786" s="85">
        <v>0</v>
      </c>
      <c r="C786" s="6" t="s">
        <v>917</v>
      </c>
      <c r="D786" s="6">
        <v>559</v>
      </c>
      <c r="E786" s="3" t="s">
        <v>997</v>
      </c>
    </row>
    <row r="787" spans="1:5" ht="12.75">
      <c r="A787" s="85">
        <v>548</v>
      </c>
      <c r="B787" s="85">
        <v>0</v>
      </c>
      <c r="C787" s="6" t="s">
        <v>917</v>
      </c>
      <c r="D787" s="6">
        <v>559</v>
      </c>
      <c r="E787" s="3" t="s">
        <v>998</v>
      </c>
    </row>
    <row r="788" spans="1:7" ht="12.75">
      <c r="A788" s="85">
        <v>543</v>
      </c>
      <c r="B788" s="85">
        <v>0</v>
      </c>
      <c r="C788" s="6" t="s">
        <v>917</v>
      </c>
      <c r="D788" s="6">
        <v>559</v>
      </c>
      <c r="E788" s="3" t="s">
        <v>859</v>
      </c>
      <c r="F788" s="137">
        <v>38661</v>
      </c>
      <c r="G788" s="3" t="s">
        <v>857</v>
      </c>
    </row>
    <row r="789" spans="1:7" ht="12.75">
      <c r="A789" s="85">
        <v>545</v>
      </c>
      <c r="B789" s="85">
        <v>0</v>
      </c>
      <c r="C789" s="6" t="s">
        <v>917</v>
      </c>
      <c r="D789" s="6">
        <v>559</v>
      </c>
      <c r="E789" s="3" t="s">
        <v>856</v>
      </c>
      <c r="F789" s="137">
        <v>38661</v>
      </c>
      <c r="G789" s="3" t="s">
        <v>857</v>
      </c>
    </row>
    <row r="790" spans="1:7" ht="12.75">
      <c r="A790" s="85">
        <v>544</v>
      </c>
      <c r="B790" s="85">
        <v>0</v>
      </c>
      <c r="C790" s="6" t="s">
        <v>917</v>
      </c>
      <c r="D790" s="6">
        <v>559</v>
      </c>
      <c r="E790" s="3" t="s">
        <v>858</v>
      </c>
      <c r="F790" s="137">
        <v>38661</v>
      </c>
      <c r="G790" s="3" t="s">
        <v>857</v>
      </c>
    </row>
    <row r="791" spans="1:7" ht="12.75">
      <c r="A791" s="85">
        <v>554</v>
      </c>
      <c r="B791" s="85">
        <v>8.8</v>
      </c>
      <c r="C791" s="6" t="s">
        <v>917</v>
      </c>
      <c r="D791" s="6">
        <v>559</v>
      </c>
      <c r="E791" s="3" t="s">
        <v>151</v>
      </c>
      <c r="F791" s="133">
        <v>37332</v>
      </c>
      <c r="G791" s="3" t="s">
        <v>150</v>
      </c>
    </row>
    <row r="792" spans="1:7" ht="12.75">
      <c r="A792" s="85">
        <v>554</v>
      </c>
      <c r="B792" s="85">
        <v>0</v>
      </c>
      <c r="C792" s="6" t="s">
        <v>917</v>
      </c>
      <c r="D792" s="6">
        <v>559</v>
      </c>
      <c r="E792" s="3" t="s">
        <v>152</v>
      </c>
      <c r="F792" s="133">
        <v>37332</v>
      </c>
      <c r="G792" s="3" t="s">
        <v>150</v>
      </c>
    </row>
    <row r="793" spans="1:5" ht="12.75">
      <c r="A793" s="85">
        <v>547</v>
      </c>
      <c r="B793" s="85">
        <v>0</v>
      </c>
      <c r="C793" s="6" t="s">
        <v>917</v>
      </c>
      <c r="D793" s="6">
        <v>559</v>
      </c>
      <c r="E793" s="3" t="s">
        <v>999</v>
      </c>
    </row>
    <row r="794" spans="1:5" ht="12.75">
      <c r="A794" s="85">
        <v>546</v>
      </c>
      <c r="B794" s="85">
        <v>0</v>
      </c>
      <c r="C794" s="6" t="s">
        <v>917</v>
      </c>
      <c r="D794" s="6">
        <v>559</v>
      </c>
      <c r="E794" s="3" t="s">
        <v>1000</v>
      </c>
    </row>
    <row r="795" spans="1:5" ht="12.75">
      <c r="A795" s="85">
        <v>555</v>
      </c>
      <c r="B795" s="85">
        <v>0</v>
      </c>
      <c r="C795" s="6" t="s">
        <v>917</v>
      </c>
      <c r="D795" s="6">
        <v>559</v>
      </c>
      <c r="E795" s="3" t="s">
        <v>1001</v>
      </c>
    </row>
    <row r="796" spans="1:5" ht="12.75">
      <c r="A796" s="85">
        <v>544</v>
      </c>
      <c r="B796" s="85">
        <v>0</v>
      </c>
      <c r="C796" s="6" t="s">
        <v>917</v>
      </c>
      <c r="D796" s="6">
        <v>559</v>
      </c>
      <c r="E796" s="3" t="s">
        <v>1002</v>
      </c>
    </row>
    <row r="797" spans="1:5" ht="12.75">
      <c r="A797" s="85">
        <v>548</v>
      </c>
      <c r="B797" s="85">
        <v>0</v>
      </c>
      <c r="C797" s="6" t="s">
        <v>917</v>
      </c>
      <c r="D797" s="6">
        <v>559</v>
      </c>
      <c r="E797" s="3" t="s">
        <v>1003</v>
      </c>
    </row>
    <row r="798" spans="1:5" ht="12.75">
      <c r="A798" s="85">
        <v>555</v>
      </c>
      <c r="B798" s="85">
        <v>0</v>
      </c>
      <c r="C798" s="6" t="s">
        <v>917</v>
      </c>
      <c r="D798" s="6">
        <v>559</v>
      </c>
      <c r="E798" s="3" t="s">
        <v>1004</v>
      </c>
    </row>
    <row r="799" spans="1:5" ht="12.75">
      <c r="A799" s="85">
        <v>544</v>
      </c>
      <c r="B799" s="85">
        <v>0</v>
      </c>
      <c r="C799" s="6" t="s">
        <v>917</v>
      </c>
      <c r="D799" s="6">
        <v>559</v>
      </c>
      <c r="E799" s="3" t="s">
        <v>1005</v>
      </c>
    </row>
    <row r="800" spans="1:5" ht="12.75">
      <c r="A800" s="85">
        <v>548</v>
      </c>
      <c r="B800" s="85">
        <v>0</v>
      </c>
      <c r="C800" s="6" t="s">
        <v>917</v>
      </c>
      <c r="D800" s="6">
        <v>559</v>
      </c>
      <c r="E800" s="3" t="s">
        <v>1006</v>
      </c>
    </row>
    <row r="801" spans="1:5" ht="12.75">
      <c r="A801" s="85">
        <v>547</v>
      </c>
      <c r="B801" s="85">
        <v>0</v>
      </c>
      <c r="C801" s="6" t="s">
        <v>917</v>
      </c>
      <c r="D801" s="6">
        <v>559</v>
      </c>
      <c r="E801" s="3" t="s">
        <v>1007</v>
      </c>
    </row>
    <row r="802" spans="1:5" ht="12.75">
      <c r="A802" s="85">
        <v>546</v>
      </c>
      <c r="B802" s="85">
        <v>0</v>
      </c>
      <c r="C802" s="6" t="s">
        <v>917</v>
      </c>
      <c r="D802" s="6">
        <v>559</v>
      </c>
      <c r="E802" s="3" t="s">
        <v>1008</v>
      </c>
    </row>
    <row r="803" spans="1:5" ht="12.75">
      <c r="A803" s="85">
        <v>546</v>
      </c>
      <c r="B803" s="85">
        <v>0</v>
      </c>
      <c r="C803" s="6" t="s">
        <v>917</v>
      </c>
      <c r="D803" s="6">
        <v>559</v>
      </c>
      <c r="E803" s="3" t="s">
        <v>1009</v>
      </c>
    </row>
    <row r="804" spans="1:5" ht="12.75">
      <c r="A804" s="85">
        <v>545</v>
      </c>
      <c r="B804" s="85">
        <v>0</v>
      </c>
      <c r="C804" s="6" t="s">
        <v>917</v>
      </c>
      <c r="D804" s="6">
        <v>559</v>
      </c>
      <c r="E804" s="3" t="s">
        <v>1010</v>
      </c>
    </row>
    <row r="805" spans="1:5" ht="12.75">
      <c r="A805" s="85">
        <v>544</v>
      </c>
      <c r="B805" s="85">
        <v>0</v>
      </c>
      <c r="C805" s="6" t="s">
        <v>917</v>
      </c>
      <c r="D805" s="6">
        <v>559</v>
      </c>
      <c r="E805" s="3" t="s">
        <v>1013</v>
      </c>
    </row>
    <row r="806" spans="1:5" ht="12.75">
      <c r="A806" s="85">
        <v>544</v>
      </c>
      <c r="B806" s="85">
        <v>0</v>
      </c>
      <c r="C806" s="6" t="s">
        <v>917</v>
      </c>
      <c r="D806" s="6">
        <v>559</v>
      </c>
      <c r="E806" s="3" t="s">
        <v>736</v>
      </c>
    </row>
    <row r="807" spans="1:5" ht="12.75">
      <c r="A807" s="85">
        <v>549</v>
      </c>
      <c r="B807" s="85">
        <v>0</v>
      </c>
      <c r="C807" s="6" t="s">
        <v>917</v>
      </c>
      <c r="D807" s="6">
        <v>559</v>
      </c>
      <c r="E807" s="3" t="s">
        <v>738</v>
      </c>
    </row>
    <row r="808" spans="1:5" ht="12.75">
      <c r="A808" s="85">
        <v>471</v>
      </c>
      <c r="B808" s="85">
        <v>0</v>
      </c>
      <c r="C808" s="6" t="s">
        <v>917</v>
      </c>
      <c r="D808" s="6">
        <v>559</v>
      </c>
      <c r="E808" s="3" t="s">
        <v>1014</v>
      </c>
    </row>
    <row r="809" spans="1:5" ht="12.75">
      <c r="A809" s="85">
        <v>547</v>
      </c>
      <c r="B809" s="85">
        <v>0</v>
      </c>
      <c r="C809" s="6" t="s">
        <v>917</v>
      </c>
      <c r="D809" s="6">
        <v>559</v>
      </c>
      <c r="E809" s="3" t="s">
        <v>906</v>
      </c>
    </row>
    <row r="810" spans="1:5" ht="12.75">
      <c r="A810" s="85">
        <v>547</v>
      </c>
      <c r="B810" s="85">
        <v>0</v>
      </c>
      <c r="C810" s="6" t="s">
        <v>917</v>
      </c>
      <c r="D810" s="6">
        <v>559</v>
      </c>
      <c r="E810" t="s">
        <v>1015</v>
      </c>
    </row>
    <row r="811" spans="1:5" ht="12.75">
      <c r="A811" s="85">
        <v>549</v>
      </c>
      <c r="B811" s="85">
        <v>0</v>
      </c>
      <c r="C811" s="6" t="s">
        <v>917</v>
      </c>
      <c r="D811" s="6">
        <v>559</v>
      </c>
      <c r="E811" s="3" t="s">
        <v>1016</v>
      </c>
    </row>
    <row r="812" spans="1:5" ht="12.75">
      <c r="A812" s="85">
        <v>547</v>
      </c>
      <c r="B812" s="85">
        <v>0</v>
      </c>
      <c r="C812" s="6" t="s">
        <v>917</v>
      </c>
      <c r="D812" s="6">
        <v>559</v>
      </c>
      <c r="E812" s="3" t="s">
        <v>740</v>
      </c>
    </row>
    <row r="813" spans="1:5" ht="12.75">
      <c r="A813" s="85">
        <v>545</v>
      </c>
      <c r="B813" s="85">
        <v>0</v>
      </c>
      <c r="C813" s="6" t="s">
        <v>917</v>
      </c>
      <c r="D813" s="6">
        <v>559</v>
      </c>
      <c r="E813" s="3" t="s">
        <v>741</v>
      </c>
    </row>
    <row r="814" spans="1:7" ht="12.75">
      <c r="A814" s="85">
        <v>544</v>
      </c>
      <c r="B814" s="85">
        <v>0</v>
      </c>
      <c r="C814" s="6" t="s">
        <v>917</v>
      </c>
      <c r="D814" s="6">
        <v>559</v>
      </c>
      <c r="E814" s="3" t="s">
        <v>148</v>
      </c>
      <c r="G814" s="3" t="s">
        <v>149</v>
      </c>
    </row>
    <row r="815" spans="1:5" ht="12.75">
      <c r="A815" s="85">
        <v>545</v>
      </c>
      <c r="B815" s="85">
        <v>0</v>
      </c>
      <c r="C815" s="6" t="s">
        <v>917</v>
      </c>
      <c r="D815" s="6">
        <v>559</v>
      </c>
      <c r="E815" s="3" t="s">
        <v>742</v>
      </c>
    </row>
    <row r="816" spans="1:5" ht="12.75">
      <c r="A816" s="85">
        <v>548</v>
      </c>
      <c r="B816" s="85">
        <v>0</v>
      </c>
      <c r="C816" s="6" t="s">
        <v>917</v>
      </c>
      <c r="D816" s="6">
        <v>559</v>
      </c>
      <c r="E816" s="3" t="s">
        <v>1017</v>
      </c>
    </row>
    <row r="817" spans="1:5" ht="12.75">
      <c r="A817" s="85">
        <v>547</v>
      </c>
      <c r="B817" s="85">
        <v>0</v>
      </c>
      <c r="C817" s="6" t="s">
        <v>917</v>
      </c>
      <c r="D817" s="6">
        <v>559</v>
      </c>
      <c r="E817" s="3" t="s">
        <v>1018</v>
      </c>
    </row>
    <row r="818" spans="1:5" ht="12.75">
      <c r="A818" s="85">
        <v>548</v>
      </c>
      <c r="B818" s="85">
        <v>0</v>
      </c>
      <c r="C818" s="6" t="s">
        <v>917</v>
      </c>
      <c r="D818" s="6">
        <v>559</v>
      </c>
      <c r="E818" s="3" t="s">
        <v>1019</v>
      </c>
    </row>
    <row r="819" spans="1:5" ht="12.75">
      <c r="A819" s="85">
        <v>545</v>
      </c>
      <c r="B819" s="85">
        <v>0</v>
      </c>
      <c r="C819" s="6" t="s">
        <v>917</v>
      </c>
      <c r="D819" s="6">
        <v>559</v>
      </c>
      <c r="E819" s="3" t="s">
        <v>1020</v>
      </c>
    </row>
    <row r="820" spans="1:5" ht="12.75">
      <c r="A820" s="85">
        <v>541</v>
      </c>
      <c r="B820" s="85">
        <v>0</v>
      </c>
      <c r="C820" s="6" t="s">
        <v>917</v>
      </c>
      <c r="D820" s="6">
        <v>559</v>
      </c>
      <c r="E820" t="s">
        <v>1021</v>
      </c>
    </row>
    <row r="821" spans="1:5" ht="12.75">
      <c r="A821" s="85">
        <v>548</v>
      </c>
      <c r="B821" s="85">
        <v>0</v>
      </c>
      <c r="C821" s="6" t="s">
        <v>917</v>
      </c>
      <c r="D821" s="6">
        <v>559</v>
      </c>
      <c r="E821" t="s">
        <v>1022</v>
      </c>
    </row>
    <row r="822" spans="1:5" ht="12.75">
      <c r="A822" s="85">
        <v>547</v>
      </c>
      <c r="B822" s="85">
        <v>0</v>
      </c>
      <c r="C822" s="6" t="s">
        <v>917</v>
      </c>
      <c r="D822" s="6">
        <v>559</v>
      </c>
      <c r="E822" s="3" t="s">
        <v>746</v>
      </c>
    </row>
    <row r="823" spans="1:5" ht="12.75">
      <c r="A823" s="85">
        <v>549</v>
      </c>
      <c r="B823" s="85">
        <v>0</v>
      </c>
      <c r="C823" s="6" t="s">
        <v>917</v>
      </c>
      <c r="D823" s="6">
        <v>559</v>
      </c>
      <c r="E823" s="3" t="s">
        <v>1023</v>
      </c>
    </row>
    <row r="824" spans="1:5" ht="12.75">
      <c r="A824" s="85">
        <v>550</v>
      </c>
      <c r="B824" s="85">
        <v>0</v>
      </c>
      <c r="C824" s="6" t="s">
        <v>917</v>
      </c>
      <c r="D824" s="6">
        <v>559</v>
      </c>
      <c r="E824" s="3" t="s">
        <v>1024</v>
      </c>
    </row>
    <row r="825" spans="1:5" ht="12.75">
      <c r="A825" s="85">
        <v>549</v>
      </c>
      <c r="B825" s="85">
        <v>0</v>
      </c>
      <c r="C825" s="6" t="s">
        <v>917</v>
      </c>
      <c r="D825" s="6">
        <v>559</v>
      </c>
      <c r="E825" s="3" t="s">
        <v>751</v>
      </c>
    </row>
    <row r="826" spans="1:5" ht="12.75">
      <c r="A826" s="85">
        <v>539</v>
      </c>
      <c r="B826" s="85">
        <v>0</v>
      </c>
      <c r="C826" s="6" t="s">
        <v>917</v>
      </c>
      <c r="D826" s="6">
        <v>559</v>
      </c>
      <c r="E826" s="3" t="s">
        <v>752</v>
      </c>
    </row>
    <row r="827" spans="1:5" ht="12.75">
      <c r="A827" s="85">
        <v>550</v>
      </c>
      <c r="B827" s="85">
        <v>0</v>
      </c>
      <c r="C827" s="6" t="s">
        <v>917</v>
      </c>
      <c r="D827" s="6">
        <v>559</v>
      </c>
      <c r="E827" s="3" t="s">
        <v>1026</v>
      </c>
    </row>
    <row r="828" spans="1:5" ht="12.75">
      <c r="A828" s="85">
        <v>548</v>
      </c>
      <c r="B828" s="85">
        <v>0</v>
      </c>
      <c r="C828" s="6" t="s">
        <v>917</v>
      </c>
      <c r="D828" s="6">
        <v>559</v>
      </c>
      <c r="E828" s="3" t="s">
        <v>1027</v>
      </c>
    </row>
    <row r="829" spans="1:5" ht="12.75">
      <c r="A829" s="85">
        <v>534</v>
      </c>
      <c r="B829" s="85">
        <v>0</v>
      </c>
      <c r="C829" s="6" t="s">
        <v>917</v>
      </c>
      <c r="D829" s="6">
        <v>559</v>
      </c>
      <c r="E829" s="3" t="s">
        <v>758</v>
      </c>
    </row>
    <row r="830" spans="1:5" ht="12.75">
      <c r="A830" s="85">
        <v>547</v>
      </c>
      <c r="B830" s="85">
        <v>0</v>
      </c>
      <c r="C830" s="6" t="s">
        <v>917</v>
      </c>
      <c r="D830" s="6">
        <v>559</v>
      </c>
      <c r="E830" s="3" t="s">
        <v>1028</v>
      </c>
    </row>
    <row r="831" spans="1:5" ht="12.75">
      <c r="A831" s="85">
        <v>541</v>
      </c>
      <c r="B831" s="85">
        <v>0</v>
      </c>
      <c r="C831" s="6" t="s">
        <v>917</v>
      </c>
      <c r="D831" s="6">
        <v>559</v>
      </c>
      <c r="E831" s="3" t="s">
        <v>759</v>
      </c>
    </row>
    <row r="832" spans="1:7" ht="12.75">
      <c r="A832" s="85">
        <v>553.4</v>
      </c>
      <c r="B832" s="85">
        <v>0</v>
      </c>
      <c r="C832" s="6" t="s">
        <v>917</v>
      </c>
      <c r="D832" s="6">
        <v>559</v>
      </c>
      <c r="E832" s="3" t="s">
        <v>944</v>
      </c>
      <c r="F832" s="133">
        <v>37566</v>
      </c>
      <c r="G832" s="3" t="s">
        <v>158</v>
      </c>
    </row>
    <row r="833" spans="1:5" ht="12.75">
      <c r="A833" s="85">
        <v>541</v>
      </c>
      <c r="B833" s="85">
        <v>0</v>
      </c>
      <c r="C833" s="6" t="s">
        <v>917</v>
      </c>
      <c r="D833" s="6">
        <v>559</v>
      </c>
      <c r="E833" s="3" t="s">
        <v>1030</v>
      </c>
    </row>
    <row r="834" spans="1:5" ht="12.75">
      <c r="A834" s="85">
        <v>544</v>
      </c>
      <c r="B834" s="85">
        <v>0</v>
      </c>
      <c r="C834" s="6" t="s">
        <v>917</v>
      </c>
      <c r="D834" s="6">
        <v>559</v>
      </c>
      <c r="E834" s="3" t="s">
        <v>1031</v>
      </c>
    </row>
    <row r="835" spans="1:5" ht="12.75">
      <c r="A835" s="85">
        <v>548</v>
      </c>
      <c r="B835" s="85">
        <v>0</v>
      </c>
      <c r="C835" s="6" t="s">
        <v>917</v>
      </c>
      <c r="D835" s="6">
        <v>559</v>
      </c>
      <c r="E835" s="3" t="s">
        <v>945</v>
      </c>
    </row>
    <row r="836" spans="1:5" ht="12.75">
      <c r="A836" s="85">
        <v>541</v>
      </c>
      <c r="B836" s="85">
        <v>0</v>
      </c>
      <c r="C836" s="6" t="s">
        <v>917</v>
      </c>
      <c r="D836" s="6">
        <v>559</v>
      </c>
      <c r="E836" s="3" t="s">
        <v>761</v>
      </c>
    </row>
    <row r="837" spans="1:5" ht="12.75">
      <c r="A837" s="85">
        <v>544</v>
      </c>
      <c r="B837" s="85">
        <v>0</v>
      </c>
      <c r="C837" s="6" t="s">
        <v>917</v>
      </c>
      <c r="D837" s="6">
        <v>559</v>
      </c>
      <c r="E837" s="3" t="s">
        <v>1032</v>
      </c>
    </row>
    <row r="838" spans="1:7" ht="12.75">
      <c r="A838" s="85">
        <v>542</v>
      </c>
      <c r="B838" s="85">
        <v>0</v>
      </c>
      <c r="C838" s="6" t="s">
        <v>917</v>
      </c>
      <c r="D838" s="6">
        <v>559</v>
      </c>
      <c r="E838" s="3" t="s">
        <v>1507</v>
      </c>
      <c r="F838" s="133">
        <v>37900</v>
      </c>
      <c r="G838" s="95" t="s">
        <v>1145</v>
      </c>
    </row>
    <row r="839" spans="1:7" ht="12.75">
      <c r="A839" s="85">
        <v>547</v>
      </c>
      <c r="B839" s="85">
        <v>0</v>
      </c>
      <c r="C839" s="6" t="s">
        <v>917</v>
      </c>
      <c r="D839" s="6">
        <v>559</v>
      </c>
      <c r="E839" s="3" t="s">
        <v>1118</v>
      </c>
      <c r="F839" s="133">
        <v>37870</v>
      </c>
      <c r="G839" s="95" t="s">
        <v>1119</v>
      </c>
    </row>
    <row r="840" spans="1:5" ht="12.75">
      <c r="A840" s="85">
        <v>536</v>
      </c>
      <c r="B840" s="85">
        <v>0</v>
      </c>
      <c r="C840" s="6" t="s">
        <v>917</v>
      </c>
      <c r="D840" s="6">
        <v>559</v>
      </c>
      <c r="E840" s="3" t="s">
        <v>1036</v>
      </c>
    </row>
    <row r="841" spans="1:5" ht="12.75">
      <c r="A841" s="85">
        <v>531</v>
      </c>
      <c r="B841" s="85">
        <v>0</v>
      </c>
      <c r="C841" s="6" t="s">
        <v>917</v>
      </c>
      <c r="D841" s="6">
        <v>559</v>
      </c>
      <c r="E841" s="3" t="s">
        <v>1037</v>
      </c>
    </row>
    <row r="842" spans="1:5" ht="12.75">
      <c r="A842" s="85">
        <v>517</v>
      </c>
      <c r="B842" s="85">
        <v>0</v>
      </c>
      <c r="C842" s="6" t="s">
        <v>917</v>
      </c>
      <c r="D842" s="6">
        <v>559</v>
      </c>
      <c r="E842" s="3" t="s">
        <v>1038</v>
      </c>
    </row>
    <row r="843" spans="1:5" ht="12.75">
      <c r="A843" s="85">
        <v>538</v>
      </c>
      <c r="B843" s="85">
        <v>0</v>
      </c>
      <c r="C843" s="6" t="s">
        <v>917</v>
      </c>
      <c r="D843" s="6">
        <v>559</v>
      </c>
      <c r="E843" s="3" t="s">
        <v>1039</v>
      </c>
    </row>
    <row r="844" spans="1:5" ht="12.75">
      <c r="A844" s="85">
        <v>542</v>
      </c>
      <c r="B844" s="85">
        <v>0</v>
      </c>
      <c r="C844" s="6" t="s">
        <v>917</v>
      </c>
      <c r="D844" s="6">
        <v>559</v>
      </c>
      <c r="E844" s="3" t="s">
        <v>1040</v>
      </c>
    </row>
    <row r="845" spans="1:5" ht="12.75">
      <c r="A845" s="85">
        <v>540</v>
      </c>
      <c r="B845" s="85">
        <v>0</v>
      </c>
      <c r="C845" s="6" t="s">
        <v>917</v>
      </c>
      <c r="D845" s="6">
        <v>559</v>
      </c>
      <c r="E845" s="3" t="s">
        <v>1041</v>
      </c>
    </row>
    <row r="846" spans="1:5" ht="12.75">
      <c r="A846" s="85">
        <v>547</v>
      </c>
      <c r="B846" s="85">
        <v>0</v>
      </c>
      <c r="C846" s="6" t="s">
        <v>917</v>
      </c>
      <c r="D846" s="6">
        <v>559</v>
      </c>
      <c r="E846" s="3" t="s">
        <v>1042</v>
      </c>
    </row>
    <row r="847" spans="1:7" ht="12.75">
      <c r="A847" s="85">
        <v>529.3</v>
      </c>
      <c r="B847" s="85">
        <v>0</v>
      </c>
      <c r="C847" s="6" t="s">
        <v>917</v>
      </c>
      <c r="D847" s="6">
        <v>559</v>
      </c>
      <c r="E847" s="3" t="s">
        <v>182</v>
      </c>
      <c r="F847" s="133">
        <v>37089</v>
      </c>
      <c r="G847" s="3" t="s">
        <v>181</v>
      </c>
    </row>
    <row r="848" spans="1:7" ht="12.75">
      <c r="A848" s="85">
        <v>540.9</v>
      </c>
      <c r="B848" s="85">
        <v>0</v>
      </c>
      <c r="C848" s="6" t="s">
        <v>917</v>
      </c>
      <c r="D848" s="6">
        <v>559</v>
      </c>
      <c r="E848" s="3" t="s">
        <v>261</v>
      </c>
      <c r="F848" s="133">
        <v>37089</v>
      </c>
      <c r="G848" s="3" t="s">
        <v>181</v>
      </c>
    </row>
    <row r="849" spans="1:7" ht="12.75">
      <c r="A849" s="85">
        <v>543.6</v>
      </c>
      <c r="B849" s="85">
        <v>0</v>
      </c>
      <c r="C849" s="6" t="s">
        <v>917</v>
      </c>
      <c r="D849" s="6">
        <v>559</v>
      </c>
      <c r="E849" s="3" t="s">
        <v>262</v>
      </c>
      <c r="F849" s="133">
        <v>37089</v>
      </c>
      <c r="G849" s="3" t="s">
        <v>181</v>
      </c>
    </row>
    <row r="850" spans="1:7" ht="12.75">
      <c r="A850" s="85">
        <v>543.5</v>
      </c>
      <c r="B850" s="85">
        <v>0</v>
      </c>
      <c r="C850" s="6" t="s">
        <v>917</v>
      </c>
      <c r="D850" s="6">
        <v>559</v>
      </c>
      <c r="E850" s="3" t="s">
        <v>263</v>
      </c>
      <c r="F850" s="133">
        <v>37089</v>
      </c>
      <c r="G850" s="3" t="s">
        <v>181</v>
      </c>
    </row>
    <row r="851" spans="1:7" ht="12.75">
      <c r="A851" s="85">
        <v>547.1</v>
      </c>
      <c r="B851" s="85">
        <v>0</v>
      </c>
      <c r="C851" s="6" t="s">
        <v>917</v>
      </c>
      <c r="D851" s="6">
        <v>559</v>
      </c>
      <c r="E851" s="3" t="s">
        <v>264</v>
      </c>
      <c r="F851" s="133">
        <v>37089</v>
      </c>
      <c r="G851" s="3" t="s">
        <v>181</v>
      </c>
    </row>
    <row r="852" spans="1:7" ht="12.75">
      <c r="A852" s="85">
        <v>543.2</v>
      </c>
      <c r="B852" s="85">
        <v>0</v>
      </c>
      <c r="C852" s="6" t="s">
        <v>917</v>
      </c>
      <c r="D852" s="6">
        <v>559</v>
      </c>
      <c r="E852" s="3" t="s">
        <v>265</v>
      </c>
      <c r="F852" s="133">
        <v>37089</v>
      </c>
      <c r="G852" s="3" t="s">
        <v>181</v>
      </c>
    </row>
    <row r="853" spans="1:5" ht="12.75">
      <c r="A853" s="85">
        <v>545</v>
      </c>
      <c r="B853" s="85">
        <v>0</v>
      </c>
      <c r="C853" s="6" t="s">
        <v>917</v>
      </c>
      <c r="D853" s="6">
        <v>559</v>
      </c>
      <c r="E853" s="3" t="s">
        <v>1043</v>
      </c>
    </row>
    <row r="854" spans="1:5" ht="12.75">
      <c r="A854" s="85">
        <v>551</v>
      </c>
      <c r="B854" s="85">
        <v>0</v>
      </c>
      <c r="C854" s="6" t="s">
        <v>917</v>
      </c>
      <c r="D854" s="6">
        <v>559</v>
      </c>
      <c r="E854" s="3" t="s">
        <v>1044</v>
      </c>
    </row>
    <row r="855" spans="1:5" ht="12.75">
      <c r="A855" s="85">
        <v>546</v>
      </c>
      <c r="B855" s="85">
        <v>0</v>
      </c>
      <c r="C855" s="6" t="s">
        <v>917</v>
      </c>
      <c r="D855" s="6">
        <v>559</v>
      </c>
      <c r="E855" s="3" t="s">
        <v>1045</v>
      </c>
    </row>
    <row r="856" spans="1:5" ht="12.75">
      <c r="A856" s="85">
        <v>551</v>
      </c>
      <c r="B856" s="85">
        <v>0</v>
      </c>
      <c r="C856" s="6" t="s">
        <v>917</v>
      </c>
      <c r="D856" s="6">
        <v>559</v>
      </c>
      <c r="E856" s="3" t="s">
        <v>1074</v>
      </c>
    </row>
    <row r="857" spans="1:5" ht="12.75">
      <c r="A857" s="85">
        <v>550</v>
      </c>
      <c r="B857" s="85">
        <v>0</v>
      </c>
      <c r="C857" s="6" t="s">
        <v>917</v>
      </c>
      <c r="D857" s="6">
        <v>559</v>
      </c>
      <c r="E857" s="3" t="s">
        <v>1075</v>
      </c>
    </row>
    <row r="858" spans="1:5" ht="12.75">
      <c r="A858" s="85">
        <v>547</v>
      </c>
      <c r="B858" s="85">
        <v>0</v>
      </c>
      <c r="C858" s="6" t="s">
        <v>917</v>
      </c>
      <c r="D858" s="6">
        <v>559</v>
      </c>
      <c r="E858" s="3" t="s">
        <v>1076</v>
      </c>
    </row>
    <row r="859" spans="1:5" ht="12.75">
      <c r="A859" s="85">
        <v>548</v>
      </c>
      <c r="B859" s="85">
        <v>0</v>
      </c>
      <c r="C859" s="6" t="s">
        <v>917</v>
      </c>
      <c r="D859" s="6">
        <v>559</v>
      </c>
      <c r="E859" s="3" t="s">
        <v>1077</v>
      </c>
    </row>
    <row r="860" spans="1:7" ht="12.75">
      <c r="A860" s="85">
        <v>536</v>
      </c>
      <c r="B860" s="85">
        <v>0</v>
      </c>
      <c r="C860" s="6" t="s">
        <v>917</v>
      </c>
      <c r="D860" s="6">
        <v>559</v>
      </c>
      <c r="E860" s="89" t="s">
        <v>1584</v>
      </c>
      <c r="F860" s="133">
        <v>37424</v>
      </c>
      <c r="G860" s="3" t="s">
        <v>1586</v>
      </c>
    </row>
    <row r="861" spans="1:7" ht="12.75">
      <c r="A861" s="85">
        <v>541</v>
      </c>
      <c r="B861" s="85">
        <v>0</v>
      </c>
      <c r="C861" s="6" t="s">
        <v>917</v>
      </c>
      <c r="D861" s="6">
        <v>559</v>
      </c>
      <c r="E861" s="89" t="s">
        <v>1580</v>
      </c>
      <c r="F861" s="133">
        <v>37424</v>
      </c>
      <c r="G861" s="3" t="s">
        <v>1586</v>
      </c>
    </row>
    <row r="862" spans="1:7" ht="12.75">
      <c r="A862" s="85">
        <v>538</v>
      </c>
      <c r="B862" s="85">
        <v>0</v>
      </c>
      <c r="C862" s="6" t="s">
        <v>917</v>
      </c>
      <c r="D862" s="6">
        <v>559</v>
      </c>
      <c r="E862" s="89" t="s">
        <v>1581</v>
      </c>
      <c r="F862" s="133">
        <v>37424</v>
      </c>
      <c r="G862" s="3" t="s">
        <v>1586</v>
      </c>
    </row>
    <row r="863" spans="1:7" ht="12.75">
      <c r="A863" s="85">
        <v>540</v>
      </c>
      <c r="B863" s="85">
        <v>0</v>
      </c>
      <c r="C863" s="6" t="s">
        <v>917</v>
      </c>
      <c r="D863" s="6">
        <v>559</v>
      </c>
      <c r="E863" s="89" t="s">
        <v>1578</v>
      </c>
      <c r="F863" s="133">
        <v>37424</v>
      </c>
      <c r="G863" s="3" t="s">
        <v>1586</v>
      </c>
    </row>
    <row r="864" spans="1:7" ht="12.75">
      <c r="A864" s="85">
        <v>542</v>
      </c>
      <c r="B864" s="85">
        <v>0</v>
      </c>
      <c r="C864" s="6" t="s">
        <v>917</v>
      </c>
      <c r="D864" s="6">
        <v>559</v>
      </c>
      <c r="E864" s="89" t="s">
        <v>1579</v>
      </c>
      <c r="F864" s="133">
        <v>37424</v>
      </c>
      <c r="G864" s="3" t="s">
        <v>1586</v>
      </c>
    </row>
    <row r="865" spans="1:5" ht="12.75">
      <c r="A865" s="85">
        <v>548</v>
      </c>
      <c r="B865" s="85">
        <v>0</v>
      </c>
      <c r="C865" s="6" t="s">
        <v>917</v>
      </c>
      <c r="D865" s="6">
        <v>559</v>
      </c>
      <c r="E865" s="3" t="s">
        <v>1587</v>
      </c>
    </row>
    <row r="866" spans="1:5" ht="12.75">
      <c r="A866" s="85">
        <v>545</v>
      </c>
      <c r="B866" s="85">
        <v>0</v>
      </c>
      <c r="C866" s="6" t="s">
        <v>917</v>
      </c>
      <c r="D866" s="6">
        <v>559</v>
      </c>
      <c r="E866" s="3" t="s">
        <v>1588</v>
      </c>
    </row>
    <row r="867" spans="1:7" ht="12.75">
      <c r="A867" s="85">
        <v>541</v>
      </c>
      <c r="B867" s="85">
        <v>0</v>
      </c>
      <c r="C867" s="6" t="s">
        <v>917</v>
      </c>
      <c r="D867" s="6">
        <v>559</v>
      </c>
      <c r="E867" s="89" t="s">
        <v>1583</v>
      </c>
      <c r="F867" s="133">
        <v>37424</v>
      </c>
      <c r="G867" s="3" t="s">
        <v>1586</v>
      </c>
    </row>
    <row r="868" spans="1:7" ht="12.75">
      <c r="A868" s="85">
        <v>541</v>
      </c>
      <c r="B868" s="85">
        <v>0</v>
      </c>
      <c r="C868" s="6" t="s">
        <v>917</v>
      </c>
      <c r="D868" s="6">
        <v>559</v>
      </c>
      <c r="E868" s="89" t="s">
        <v>1582</v>
      </c>
      <c r="F868" s="133">
        <v>37424</v>
      </c>
      <c r="G868" s="3" t="s">
        <v>1586</v>
      </c>
    </row>
    <row r="869" spans="1:5" ht="12.75">
      <c r="A869" s="85">
        <v>552</v>
      </c>
      <c r="B869" s="85">
        <v>0</v>
      </c>
      <c r="C869" s="6" t="s">
        <v>917</v>
      </c>
      <c r="D869" s="6">
        <v>559</v>
      </c>
      <c r="E869" s="3" t="s">
        <v>1078</v>
      </c>
    </row>
    <row r="870" spans="1:5" ht="12.75">
      <c r="A870" s="85">
        <v>549</v>
      </c>
      <c r="B870" s="85">
        <v>0</v>
      </c>
      <c r="C870" s="6" t="s">
        <v>917</v>
      </c>
      <c r="D870" s="6">
        <v>559</v>
      </c>
      <c r="E870" s="3" t="s">
        <v>1079</v>
      </c>
    </row>
    <row r="871" spans="1:7" ht="12.75">
      <c r="A871" s="85">
        <f>537+3</f>
        <v>540</v>
      </c>
      <c r="B871" s="85">
        <v>2.5</v>
      </c>
      <c r="C871" s="6" t="s">
        <v>941</v>
      </c>
      <c r="D871" s="6">
        <v>559</v>
      </c>
      <c r="E871" s="3" t="s">
        <v>940</v>
      </c>
      <c r="F871" s="133">
        <v>38054</v>
      </c>
      <c r="G871" s="3" t="s">
        <v>158</v>
      </c>
    </row>
    <row r="872" spans="1:7" ht="12.75">
      <c r="A872" s="85">
        <f>529.2+3</f>
        <v>532.2</v>
      </c>
      <c r="B872" s="85">
        <v>0</v>
      </c>
      <c r="C872" s="6" t="s">
        <v>178</v>
      </c>
      <c r="D872" s="6">
        <v>540</v>
      </c>
      <c r="E872" s="3" t="s">
        <v>1617</v>
      </c>
      <c r="F872" s="133">
        <v>37254</v>
      </c>
      <c r="G872" s="3" t="s">
        <v>157</v>
      </c>
    </row>
    <row r="873" spans="1:7" ht="12.75">
      <c r="A873" s="85">
        <f>528.1+3</f>
        <v>531.1</v>
      </c>
      <c r="B873" s="85">
        <v>0</v>
      </c>
      <c r="C873" s="6" t="s">
        <v>1080</v>
      </c>
      <c r="D873" s="6">
        <v>540</v>
      </c>
      <c r="E873" s="3" t="s">
        <v>1617</v>
      </c>
      <c r="F873" s="133">
        <v>37254</v>
      </c>
      <c r="G873" s="3" t="s">
        <v>157</v>
      </c>
    </row>
    <row r="874" spans="1:5" ht="12.75">
      <c r="A874" s="85">
        <v>528</v>
      </c>
      <c r="B874" s="85">
        <v>0</v>
      </c>
      <c r="C874" s="6" t="s">
        <v>1080</v>
      </c>
      <c r="D874" s="6">
        <v>540</v>
      </c>
      <c r="E874" s="3" t="s">
        <v>1015</v>
      </c>
    </row>
    <row r="875" spans="1:5" ht="12.75">
      <c r="A875" s="85">
        <v>527</v>
      </c>
      <c r="B875" s="85">
        <v>0</v>
      </c>
      <c r="C875" s="6" t="s">
        <v>1080</v>
      </c>
      <c r="D875" s="6">
        <v>540</v>
      </c>
      <c r="E875" s="3" t="s">
        <v>740</v>
      </c>
    </row>
    <row r="876" spans="1:7" ht="12.75">
      <c r="A876" s="85">
        <v>532</v>
      </c>
      <c r="B876" s="85">
        <v>0</v>
      </c>
      <c r="C876" s="6" t="s">
        <v>1080</v>
      </c>
      <c r="D876" s="6">
        <v>540</v>
      </c>
      <c r="E876" s="3" t="s">
        <v>148</v>
      </c>
      <c r="G876" s="3" t="s">
        <v>149</v>
      </c>
    </row>
    <row r="877" spans="1:5" ht="12.75">
      <c r="A877" s="85">
        <v>529</v>
      </c>
      <c r="B877" s="85">
        <v>0</v>
      </c>
      <c r="C877" s="6" t="s">
        <v>1080</v>
      </c>
      <c r="D877" s="6">
        <v>540</v>
      </c>
      <c r="E877" s="3" t="s">
        <v>742</v>
      </c>
    </row>
    <row r="878" spans="1:5" ht="12.75">
      <c r="A878" s="85">
        <v>530</v>
      </c>
      <c r="B878" s="85">
        <v>0</v>
      </c>
      <c r="C878" s="6" t="s">
        <v>1080</v>
      </c>
      <c r="D878" s="6">
        <v>540</v>
      </c>
      <c r="E878" s="3" t="s">
        <v>745</v>
      </c>
    </row>
    <row r="879" spans="1:5" ht="12.75">
      <c r="A879" s="85">
        <v>529</v>
      </c>
      <c r="B879" s="85">
        <v>0</v>
      </c>
      <c r="C879" s="6" t="s">
        <v>1080</v>
      </c>
      <c r="D879" s="6">
        <v>540</v>
      </c>
      <c r="E879" s="3" t="s">
        <v>747</v>
      </c>
    </row>
    <row r="880" spans="1:5" ht="12.75">
      <c r="A880" s="85">
        <v>530</v>
      </c>
      <c r="B880" s="85">
        <v>0</v>
      </c>
      <c r="C880" s="6" t="s">
        <v>1080</v>
      </c>
      <c r="D880" s="6">
        <v>540</v>
      </c>
      <c r="E880" s="3" t="s">
        <v>750</v>
      </c>
    </row>
    <row r="881" spans="1:5" ht="12.75">
      <c r="A881" s="85">
        <v>528</v>
      </c>
      <c r="B881" s="85">
        <v>0</v>
      </c>
      <c r="C881" s="6" t="s">
        <v>1080</v>
      </c>
      <c r="D881" s="6">
        <v>540</v>
      </c>
      <c r="E881" s="3" t="s">
        <v>751</v>
      </c>
    </row>
    <row r="882" spans="1:5" ht="12.75">
      <c r="A882" s="85">
        <v>522</v>
      </c>
      <c r="B882" s="85">
        <v>0</v>
      </c>
      <c r="C882" s="6" t="s">
        <v>1080</v>
      </c>
      <c r="D882" s="6">
        <v>540</v>
      </c>
      <c r="E882" s="3" t="s">
        <v>752</v>
      </c>
    </row>
    <row r="883" spans="1:5" ht="12.75">
      <c r="A883" s="85">
        <v>530</v>
      </c>
      <c r="B883" s="85">
        <v>0</v>
      </c>
      <c r="C883" s="6" t="s">
        <v>1080</v>
      </c>
      <c r="D883" s="6">
        <v>540</v>
      </c>
      <c r="E883" s="3" t="s">
        <v>1081</v>
      </c>
    </row>
    <row r="884" spans="1:7" ht="12.75">
      <c r="A884" s="85">
        <f>506.6+1.5</f>
        <v>508.1</v>
      </c>
      <c r="B884" s="85">
        <v>0</v>
      </c>
      <c r="C884" s="6" t="s">
        <v>1082</v>
      </c>
      <c r="D884" s="6">
        <v>520</v>
      </c>
      <c r="E884" s="3" t="s">
        <v>1176</v>
      </c>
      <c r="F884" s="133">
        <v>37255</v>
      </c>
      <c r="G884" s="3" t="s">
        <v>1091</v>
      </c>
    </row>
    <row r="885" spans="1:5" ht="12.75">
      <c r="A885" s="85">
        <v>500</v>
      </c>
      <c r="B885" s="85">
        <v>0</v>
      </c>
      <c r="C885" s="6" t="s">
        <v>1082</v>
      </c>
      <c r="D885" s="6">
        <v>520</v>
      </c>
      <c r="E885" s="3" t="s">
        <v>1084</v>
      </c>
    </row>
    <row r="886" spans="1:5" ht="12.75">
      <c r="A886" s="85">
        <v>507</v>
      </c>
      <c r="B886" s="85">
        <v>0</v>
      </c>
      <c r="C886" s="6" t="s">
        <v>1082</v>
      </c>
      <c r="D886" s="6">
        <v>520</v>
      </c>
      <c r="E886" s="3" t="s">
        <v>748</v>
      </c>
    </row>
    <row r="887" spans="1:5" ht="12.75">
      <c r="A887" s="85">
        <v>509</v>
      </c>
      <c r="B887" s="85">
        <v>0</v>
      </c>
      <c r="C887" s="6" t="s">
        <v>1082</v>
      </c>
      <c r="D887" s="6">
        <v>520</v>
      </c>
      <c r="E887" s="3" t="s">
        <v>750</v>
      </c>
    </row>
    <row r="888" spans="1:5" ht="12.75">
      <c r="A888" s="85">
        <v>510</v>
      </c>
      <c r="B888" s="85">
        <v>0</v>
      </c>
      <c r="C888" s="6" t="s">
        <v>1082</v>
      </c>
      <c r="D888" s="6">
        <v>520</v>
      </c>
      <c r="E888" s="3" t="s">
        <v>751</v>
      </c>
    </row>
    <row r="889" spans="1:5" ht="12.75">
      <c r="A889" s="85">
        <v>502</v>
      </c>
      <c r="B889" s="85">
        <v>0</v>
      </c>
      <c r="C889" s="6" t="s">
        <v>1082</v>
      </c>
      <c r="D889" s="6">
        <v>520</v>
      </c>
      <c r="E889" s="3" t="s">
        <v>752</v>
      </c>
    </row>
    <row r="890" spans="1:5" ht="12.75">
      <c r="A890" s="85">
        <v>507</v>
      </c>
      <c r="B890" s="85">
        <v>0</v>
      </c>
      <c r="C890" s="6" t="s">
        <v>1082</v>
      </c>
      <c r="D890" s="6">
        <v>520</v>
      </c>
      <c r="E890" s="3" t="s">
        <v>757</v>
      </c>
    </row>
    <row r="891" spans="1:5" ht="12.75">
      <c r="A891" s="85">
        <v>496</v>
      </c>
      <c r="B891" s="85">
        <v>0</v>
      </c>
      <c r="C891" s="6" t="s">
        <v>1082</v>
      </c>
      <c r="D891" s="6">
        <v>520</v>
      </c>
      <c r="E891" s="3" t="s">
        <v>758</v>
      </c>
    </row>
    <row r="892" spans="1:5" ht="12.75">
      <c r="A892" s="85">
        <v>497</v>
      </c>
      <c r="B892" s="85">
        <v>0</v>
      </c>
      <c r="C892" s="6" t="s">
        <v>1085</v>
      </c>
      <c r="D892" s="6">
        <v>507</v>
      </c>
      <c r="E892" s="3" t="s">
        <v>1086</v>
      </c>
    </row>
    <row r="893" spans="1:7" ht="12.75">
      <c r="A893" s="85">
        <f>497.2+1.5</f>
        <v>498.7</v>
      </c>
      <c r="B893" s="85">
        <v>0</v>
      </c>
      <c r="C893" s="6" t="s">
        <v>1085</v>
      </c>
      <c r="D893" s="6">
        <v>507</v>
      </c>
      <c r="E893" s="3" t="s">
        <v>1101</v>
      </c>
      <c r="F893" s="133">
        <v>37255</v>
      </c>
      <c r="G893" s="3" t="s">
        <v>1091</v>
      </c>
    </row>
    <row r="894" spans="1:7" ht="12.75">
      <c r="A894" s="85">
        <v>499</v>
      </c>
      <c r="B894" s="85">
        <v>0</v>
      </c>
      <c r="C894" s="6" t="s">
        <v>1085</v>
      </c>
      <c r="D894" s="6">
        <v>507</v>
      </c>
      <c r="E894" s="3" t="s">
        <v>1136</v>
      </c>
      <c r="F894" s="133">
        <v>37255</v>
      </c>
      <c r="G894" s="3" t="s">
        <v>1091</v>
      </c>
    </row>
    <row r="895" spans="1:5" ht="12.75">
      <c r="A895" s="85">
        <v>496</v>
      </c>
      <c r="B895" s="85">
        <v>0</v>
      </c>
      <c r="C895" s="6" t="s">
        <v>1085</v>
      </c>
      <c r="D895" s="6">
        <v>507</v>
      </c>
      <c r="E895" s="3" t="s">
        <v>1089</v>
      </c>
    </row>
    <row r="896" spans="1:7" ht="12.75">
      <c r="A896" s="85">
        <f>497.2+1.5</f>
        <v>498.7</v>
      </c>
      <c r="B896" s="85">
        <v>0</v>
      </c>
      <c r="C896" s="6" t="s">
        <v>1085</v>
      </c>
      <c r="D896" s="6">
        <v>507</v>
      </c>
      <c r="E896" s="3" t="s">
        <v>1104</v>
      </c>
      <c r="F896" s="133">
        <v>37255</v>
      </c>
      <c r="G896" s="3" t="s">
        <v>1091</v>
      </c>
    </row>
    <row r="897" spans="1:7" ht="12.75">
      <c r="A897" s="85">
        <f>492+3</f>
        <v>495</v>
      </c>
      <c r="B897" s="85">
        <v>0</v>
      </c>
      <c r="C897" s="6" t="s">
        <v>1085</v>
      </c>
      <c r="D897" s="6">
        <v>507</v>
      </c>
      <c r="E897" s="3" t="s">
        <v>276</v>
      </c>
      <c r="F897" s="133">
        <v>37545</v>
      </c>
      <c r="G897" s="3" t="s">
        <v>158</v>
      </c>
    </row>
    <row r="898" spans="1:7" ht="12.75">
      <c r="A898" s="85">
        <v>492.5</v>
      </c>
      <c r="B898" s="85">
        <v>0</v>
      </c>
      <c r="C898" s="6" t="s">
        <v>1085</v>
      </c>
      <c r="D898" s="6">
        <v>507</v>
      </c>
      <c r="E898" s="3" t="s">
        <v>238</v>
      </c>
      <c r="F898" s="133">
        <v>38304</v>
      </c>
      <c r="G898" s="3" t="s">
        <v>194</v>
      </c>
    </row>
    <row r="899" spans="1:7" ht="12.75">
      <c r="A899" s="85">
        <f>494+3</f>
        <v>497</v>
      </c>
      <c r="B899" s="85">
        <v>0</v>
      </c>
      <c r="C899" s="6" t="s">
        <v>1085</v>
      </c>
      <c r="D899" s="6">
        <v>507</v>
      </c>
      <c r="E899" s="3" t="s">
        <v>1615</v>
      </c>
      <c r="F899" s="133">
        <v>37254</v>
      </c>
      <c r="G899" s="3" t="s">
        <v>157</v>
      </c>
    </row>
    <row r="900" spans="1:7" ht="12.75">
      <c r="A900" s="85">
        <f>484.4+3</f>
        <v>487.4</v>
      </c>
      <c r="B900" s="85">
        <v>0</v>
      </c>
      <c r="C900" s="6" t="s">
        <v>1085</v>
      </c>
      <c r="D900" s="6">
        <v>507</v>
      </c>
      <c r="E900" s="3" t="s">
        <v>1618</v>
      </c>
      <c r="F900" s="133">
        <v>37254</v>
      </c>
      <c r="G900" s="3" t="s">
        <v>157</v>
      </c>
    </row>
    <row r="901" spans="1:7" ht="12.75">
      <c r="A901" s="85">
        <f>494.8+3</f>
        <v>497.8</v>
      </c>
      <c r="B901" s="85">
        <v>0</v>
      </c>
      <c r="C901" s="6" t="s">
        <v>1085</v>
      </c>
      <c r="D901" s="6">
        <v>507</v>
      </c>
      <c r="E901" s="3" t="s">
        <v>1613</v>
      </c>
      <c r="F901" s="133">
        <v>37254</v>
      </c>
      <c r="G901" s="3" t="s">
        <v>157</v>
      </c>
    </row>
    <row r="902" spans="1:7" ht="12.75">
      <c r="A902" s="85">
        <f>494.8+3</f>
        <v>497.8</v>
      </c>
      <c r="B902" s="85">
        <v>0</v>
      </c>
      <c r="C902" s="6" t="s">
        <v>1085</v>
      </c>
      <c r="D902" s="6">
        <v>507</v>
      </c>
      <c r="E902" s="3" t="s">
        <v>1614</v>
      </c>
      <c r="F902" s="133">
        <v>37254</v>
      </c>
      <c r="G902" s="3" t="s">
        <v>157</v>
      </c>
    </row>
    <row r="903" spans="1:5" ht="12.75">
      <c r="A903" s="85">
        <v>494</v>
      </c>
      <c r="B903" s="85">
        <v>0</v>
      </c>
      <c r="C903" s="6" t="s">
        <v>1085</v>
      </c>
      <c r="D903" s="6">
        <v>507</v>
      </c>
      <c r="E903" s="3" t="s">
        <v>740</v>
      </c>
    </row>
    <row r="904" spans="1:7" ht="12.75">
      <c r="A904" s="85">
        <v>493</v>
      </c>
      <c r="B904" s="85">
        <v>0</v>
      </c>
      <c r="C904" s="6" t="s">
        <v>1085</v>
      </c>
      <c r="D904" s="6">
        <v>507</v>
      </c>
      <c r="E904" s="3" t="s">
        <v>148</v>
      </c>
      <c r="G904" s="3" t="s">
        <v>149</v>
      </c>
    </row>
    <row r="905" spans="1:5" ht="12.75">
      <c r="A905" s="85">
        <v>493</v>
      </c>
      <c r="B905" s="85">
        <v>0</v>
      </c>
      <c r="C905" s="6" t="s">
        <v>1085</v>
      </c>
      <c r="D905" s="6">
        <v>507</v>
      </c>
      <c r="E905" s="3" t="s">
        <v>742</v>
      </c>
    </row>
    <row r="906" spans="1:5" ht="12.75">
      <c r="A906" s="85">
        <v>493</v>
      </c>
      <c r="B906" s="85">
        <v>0</v>
      </c>
      <c r="C906" s="6" t="s">
        <v>1085</v>
      </c>
      <c r="D906" s="6">
        <v>507</v>
      </c>
      <c r="E906" s="3" t="s">
        <v>743</v>
      </c>
    </row>
    <row r="907" spans="1:5" ht="12.75">
      <c r="A907" s="85">
        <v>492</v>
      </c>
      <c r="B907" s="85">
        <v>0</v>
      </c>
      <c r="C907" s="6" t="s">
        <v>1085</v>
      </c>
      <c r="D907" s="6">
        <v>507</v>
      </c>
      <c r="E907" t="s">
        <v>1022</v>
      </c>
    </row>
    <row r="908" spans="1:5" ht="12.75">
      <c r="A908" s="85">
        <v>507</v>
      </c>
      <c r="B908" s="85">
        <v>0</v>
      </c>
      <c r="C908" s="6" t="s">
        <v>1085</v>
      </c>
      <c r="D908" s="6">
        <v>507</v>
      </c>
      <c r="E908" t="s">
        <v>1347</v>
      </c>
    </row>
    <row r="909" spans="1:5" ht="12.75">
      <c r="A909" s="85">
        <v>493</v>
      </c>
      <c r="B909" s="85">
        <v>0</v>
      </c>
      <c r="C909" s="6" t="s">
        <v>1085</v>
      </c>
      <c r="D909" s="6">
        <v>507</v>
      </c>
      <c r="E909" s="3" t="s">
        <v>746</v>
      </c>
    </row>
    <row r="910" spans="1:5" ht="12.75">
      <c r="A910" s="85">
        <v>497</v>
      </c>
      <c r="B910" s="85">
        <v>0</v>
      </c>
      <c r="C910" s="6" t="s">
        <v>1085</v>
      </c>
      <c r="D910" s="6">
        <v>507</v>
      </c>
      <c r="E910" s="3" t="s">
        <v>747</v>
      </c>
    </row>
    <row r="911" spans="1:5" ht="12.75">
      <c r="A911" s="85">
        <v>497</v>
      </c>
      <c r="B911" s="85">
        <v>0</v>
      </c>
      <c r="C911" s="6" t="s">
        <v>1085</v>
      </c>
      <c r="D911" s="6">
        <v>507</v>
      </c>
      <c r="E911" s="3" t="s">
        <v>748</v>
      </c>
    </row>
    <row r="912" spans="1:5" ht="12.75">
      <c r="A912" s="85">
        <v>491</v>
      </c>
      <c r="B912" s="85">
        <v>0</v>
      </c>
      <c r="C912" s="6" t="s">
        <v>1085</v>
      </c>
      <c r="D912" s="6">
        <v>507</v>
      </c>
      <c r="E912" s="3" t="s">
        <v>752</v>
      </c>
    </row>
    <row r="913" spans="1:5" ht="12.75">
      <c r="A913" s="85">
        <v>497</v>
      </c>
      <c r="B913" s="85">
        <v>0</v>
      </c>
      <c r="C913" s="6" t="s">
        <v>1085</v>
      </c>
      <c r="D913" s="6">
        <v>507</v>
      </c>
      <c r="E913" s="3" t="s">
        <v>757</v>
      </c>
    </row>
    <row r="914" spans="1:5" ht="12.75">
      <c r="A914" s="85">
        <v>492</v>
      </c>
      <c r="B914" s="85">
        <v>0</v>
      </c>
      <c r="C914" s="6" t="s">
        <v>1085</v>
      </c>
      <c r="D914" s="6">
        <v>507</v>
      </c>
      <c r="E914" s="3" t="s">
        <v>1027</v>
      </c>
    </row>
    <row r="915" spans="1:5" ht="12.75">
      <c r="A915" s="85">
        <v>493</v>
      </c>
      <c r="B915" s="85">
        <v>0</v>
      </c>
      <c r="C915" s="6" t="s">
        <v>1085</v>
      </c>
      <c r="D915" s="6">
        <v>507</v>
      </c>
      <c r="E915" s="3" t="s">
        <v>1029</v>
      </c>
    </row>
    <row r="916" spans="1:5" ht="12.75">
      <c r="A916" s="85">
        <v>486</v>
      </c>
      <c r="B916" s="85">
        <v>0</v>
      </c>
      <c r="C916" s="6" t="s">
        <v>1085</v>
      </c>
      <c r="D916" s="6">
        <v>507</v>
      </c>
      <c r="E916" s="3" t="s">
        <v>760</v>
      </c>
    </row>
    <row r="917" spans="1:5" ht="12.75">
      <c r="A917" s="85">
        <v>483</v>
      </c>
      <c r="B917" s="85">
        <v>0</v>
      </c>
      <c r="C917" s="6" t="s">
        <v>1085</v>
      </c>
      <c r="D917" s="6">
        <v>507</v>
      </c>
      <c r="E917" s="3" t="s">
        <v>1348</v>
      </c>
    </row>
    <row r="918" spans="1:5" ht="12.75">
      <c r="A918" s="85">
        <v>464.5</v>
      </c>
      <c r="B918" s="85">
        <v>0</v>
      </c>
      <c r="C918" s="6" t="s">
        <v>1085</v>
      </c>
      <c r="D918" s="6">
        <v>507</v>
      </c>
      <c r="E918" s="3" t="s">
        <v>1038</v>
      </c>
    </row>
    <row r="919" spans="1:5" ht="12.75">
      <c r="A919" s="85">
        <v>480</v>
      </c>
      <c r="B919" s="85">
        <v>0</v>
      </c>
      <c r="C919" s="6" t="s">
        <v>1085</v>
      </c>
      <c r="D919" s="6">
        <v>507</v>
      </c>
      <c r="E919" s="3" t="s">
        <v>1349</v>
      </c>
    </row>
    <row r="920" spans="1:5" ht="12.75">
      <c r="A920" s="85">
        <v>495.5</v>
      </c>
      <c r="B920" s="85">
        <v>0</v>
      </c>
      <c r="C920" s="6" t="s">
        <v>1085</v>
      </c>
      <c r="D920" s="6">
        <v>507</v>
      </c>
      <c r="E920" s="3" t="s">
        <v>1350</v>
      </c>
    </row>
    <row r="921" spans="1:7" ht="12.75">
      <c r="A921" s="85">
        <f>478+3</f>
        <v>481</v>
      </c>
      <c r="B921" s="85">
        <v>0</v>
      </c>
      <c r="C921" s="6" t="s">
        <v>180</v>
      </c>
      <c r="D921" s="6">
        <v>490</v>
      </c>
      <c r="E921" s="3" t="s">
        <v>1617</v>
      </c>
      <c r="F921" s="133">
        <v>37254</v>
      </c>
      <c r="G921" s="3" t="s">
        <v>157</v>
      </c>
    </row>
    <row r="922" spans="1:7" ht="12.75">
      <c r="A922" s="85">
        <v>438.7</v>
      </c>
      <c r="B922" s="85">
        <v>0</v>
      </c>
      <c r="C922" s="6" t="s">
        <v>1355</v>
      </c>
      <c r="D922" s="6">
        <v>451</v>
      </c>
      <c r="E922" s="3" t="s">
        <v>1083</v>
      </c>
      <c r="F922" s="133">
        <v>37255</v>
      </c>
      <c r="G922" s="3" t="s">
        <v>1091</v>
      </c>
    </row>
    <row r="923" spans="1:7" ht="12.75">
      <c r="A923" s="85">
        <f>430+3</f>
        <v>433</v>
      </c>
      <c r="B923" s="85">
        <v>0</v>
      </c>
      <c r="C923" s="6" t="s">
        <v>1355</v>
      </c>
      <c r="D923" s="6">
        <v>451</v>
      </c>
      <c r="E923" s="3" t="s">
        <v>1615</v>
      </c>
      <c r="F923" s="133">
        <v>37254</v>
      </c>
      <c r="G923" s="3" t="s">
        <v>157</v>
      </c>
    </row>
    <row r="924" spans="1:5" ht="12.75">
      <c r="A924" s="85">
        <v>439</v>
      </c>
      <c r="B924" s="85">
        <v>0</v>
      </c>
      <c r="C924" s="6" t="s">
        <v>1355</v>
      </c>
      <c r="D924" s="6">
        <v>451</v>
      </c>
      <c r="E924" s="3" t="s">
        <v>740</v>
      </c>
    </row>
    <row r="925" spans="1:7" ht="12.75">
      <c r="A925" s="85">
        <v>438</v>
      </c>
      <c r="B925" s="85">
        <v>0</v>
      </c>
      <c r="C925" s="6" t="s">
        <v>1355</v>
      </c>
      <c r="D925" s="6">
        <v>451</v>
      </c>
      <c r="E925" s="3" t="s">
        <v>148</v>
      </c>
      <c r="G925" s="3" t="s">
        <v>149</v>
      </c>
    </row>
    <row r="926" spans="1:5" ht="12.75">
      <c r="A926" s="85">
        <v>435</v>
      </c>
      <c r="B926" s="85">
        <v>0</v>
      </c>
      <c r="C926" s="6" t="s">
        <v>1355</v>
      </c>
      <c r="D926" s="6">
        <v>451</v>
      </c>
      <c r="E926" s="3" t="s">
        <v>742</v>
      </c>
    </row>
    <row r="927" spans="1:5" ht="12.75">
      <c r="A927" s="85">
        <v>438</v>
      </c>
      <c r="B927" s="85">
        <v>0</v>
      </c>
      <c r="C927" s="6" t="s">
        <v>1355</v>
      </c>
      <c r="D927" s="6">
        <v>451</v>
      </c>
      <c r="E927" t="s">
        <v>1347</v>
      </c>
    </row>
    <row r="928" spans="1:5" ht="12.75">
      <c r="A928" s="85">
        <v>441</v>
      </c>
      <c r="B928" s="85">
        <v>0</v>
      </c>
      <c r="C928" s="6" t="s">
        <v>1355</v>
      </c>
      <c r="D928" s="6">
        <v>451</v>
      </c>
      <c r="E928" s="3" t="s">
        <v>745</v>
      </c>
    </row>
    <row r="929" spans="1:5" ht="12.75">
      <c r="A929" s="85">
        <v>441</v>
      </c>
      <c r="B929" s="85">
        <v>0</v>
      </c>
      <c r="C929" s="6" t="s">
        <v>1355</v>
      </c>
      <c r="D929" s="6">
        <v>451</v>
      </c>
      <c r="E929" s="3" t="s">
        <v>747</v>
      </c>
    </row>
    <row r="930" spans="1:5" ht="12.75">
      <c r="A930" s="85">
        <v>440</v>
      </c>
      <c r="B930" s="85">
        <v>0</v>
      </c>
      <c r="C930" s="6" t="s">
        <v>1355</v>
      </c>
      <c r="D930" s="6">
        <v>451</v>
      </c>
      <c r="E930" s="3" t="s">
        <v>750</v>
      </c>
    </row>
    <row r="931" spans="1:5" ht="12.75">
      <c r="A931" s="85">
        <v>441</v>
      </c>
      <c r="B931" s="85">
        <v>0</v>
      </c>
      <c r="C931" s="6" t="s">
        <v>1355</v>
      </c>
      <c r="D931" s="6">
        <v>451</v>
      </c>
      <c r="E931" s="3" t="s">
        <v>751</v>
      </c>
    </row>
    <row r="932" spans="1:5" ht="12.75">
      <c r="A932" s="85">
        <v>432</v>
      </c>
      <c r="B932" s="85">
        <v>0</v>
      </c>
      <c r="C932" s="6" t="s">
        <v>1355</v>
      </c>
      <c r="D932" s="6">
        <v>451</v>
      </c>
      <c r="E932" s="3" t="s">
        <v>752</v>
      </c>
    </row>
    <row r="933" spans="1:5" ht="12.75">
      <c r="A933" s="85">
        <v>440</v>
      </c>
      <c r="B933" s="85">
        <v>0</v>
      </c>
      <c r="C933" s="6" t="s">
        <v>1355</v>
      </c>
      <c r="D933" s="6">
        <v>451</v>
      </c>
      <c r="E933" s="3" t="s">
        <v>1356</v>
      </c>
    </row>
    <row r="934" spans="1:5" ht="12.75">
      <c r="A934" s="85">
        <v>426</v>
      </c>
      <c r="B934" s="85">
        <v>0</v>
      </c>
      <c r="C934" s="6" t="s">
        <v>1355</v>
      </c>
      <c r="D934" s="6">
        <v>451</v>
      </c>
      <c r="E934" s="3" t="s">
        <v>758</v>
      </c>
    </row>
    <row r="935" spans="1:5" ht="12.75">
      <c r="A935" s="85">
        <v>429</v>
      </c>
      <c r="B935" s="85">
        <v>0</v>
      </c>
      <c r="C935" s="6" t="s">
        <v>1355</v>
      </c>
      <c r="D935" s="6">
        <v>451</v>
      </c>
      <c r="E935" s="3" t="s">
        <v>877</v>
      </c>
    </row>
    <row r="936" spans="1:7" ht="12.75">
      <c r="A936" s="85">
        <f>428.3+3</f>
        <v>431.3</v>
      </c>
      <c r="B936" s="85">
        <v>0</v>
      </c>
      <c r="C936" s="6" t="s">
        <v>890</v>
      </c>
      <c r="D936" s="6">
        <v>440</v>
      </c>
      <c r="E936" s="3" t="s">
        <v>1617</v>
      </c>
      <c r="F936" s="133">
        <v>37254</v>
      </c>
      <c r="G936" s="3" t="s">
        <v>157</v>
      </c>
    </row>
    <row r="937" spans="1:5" ht="12.75">
      <c r="A937" s="85">
        <v>436</v>
      </c>
      <c r="B937" s="85">
        <v>0</v>
      </c>
      <c r="C937" s="6" t="s">
        <v>890</v>
      </c>
      <c r="D937" s="6">
        <v>440</v>
      </c>
      <c r="E937" s="3" t="s">
        <v>891</v>
      </c>
    </row>
    <row r="938" spans="1:5" ht="12.75">
      <c r="A938" s="85">
        <v>392</v>
      </c>
      <c r="B938" s="85">
        <v>0</v>
      </c>
      <c r="C938" s="6" t="s">
        <v>1357</v>
      </c>
      <c r="D938" s="6">
        <v>406</v>
      </c>
      <c r="E938" s="3" t="s">
        <v>1358</v>
      </c>
    </row>
    <row r="939" spans="1:5" ht="12.75">
      <c r="A939" s="85">
        <v>378</v>
      </c>
      <c r="B939" s="85">
        <v>0</v>
      </c>
      <c r="C939" s="6" t="s">
        <v>1357</v>
      </c>
      <c r="D939" s="6">
        <v>406</v>
      </c>
      <c r="E939" s="3" t="s">
        <v>1359</v>
      </c>
    </row>
    <row r="940" spans="1:5" ht="12.75">
      <c r="A940" s="85">
        <v>376.9</v>
      </c>
      <c r="B940" s="85">
        <v>0</v>
      </c>
      <c r="C940" s="6" t="s">
        <v>1357</v>
      </c>
      <c r="D940" s="6">
        <v>406</v>
      </c>
      <c r="E940" s="3" t="s">
        <v>1360</v>
      </c>
    </row>
    <row r="941" spans="1:7" ht="12.75">
      <c r="A941" s="85">
        <v>393</v>
      </c>
      <c r="B941" s="85">
        <v>0</v>
      </c>
      <c r="C941" s="6" t="s">
        <v>1357</v>
      </c>
      <c r="D941" s="6">
        <v>406</v>
      </c>
      <c r="E941" s="3" t="s">
        <v>1103</v>
      </c>
      <c r="F941" s="133">
        <v>37255</v>
      </c>
      <c r="G941" s="3" t="s">
        <v>1091</v>
      </c>
    </row>
    <row r="942" spans="1:7" ht="12.75">
      <c r="A942" s="85">
        <v>396.4</v>
      </c>
      <c r="B942" s="85">
        <v>0</v>
      </c>
      <c r="C942" s="6" t="s">
        <v>1357</v>
      </c>
      <c r="D942" s="6">
        <v>406</v>
      </c>
      <c r="E942" s="3" t="s">
        <v>1139</v>
      </c>
      <c r="F942" s="133">
        <v>37255</v>
      </c>
      <c r="G942" s="3" t="s">
        <v>1091</v>
      </c>
    </row>
    <row r="943" spans="1:7" ht="12.75">
      <c r="A943" s="85">
        <v>379</v>
      </c>
      <c r="B943" s="85">
        <v>0</v>
      </c>
      <c r="C943" s="6" t="s">
        <v>1357</v>
      </c>
      <c r="D943" s="6">
        <v>406</v>
      </c>
      <c r="E943" s="3" t="s">
        <v>1101</v>
      </c>
      <c r="F943" s="133">
        <v>37255</v>
      </c>
      <c r="G943" s="3" t="s">
        <v>1091</v>
      </c>
    </row>
    <row r="944" spans="1:7" ht="12.75">
      <c r="A944" s="85">
        <v>377.9</v>
      </c>
      <c r="B944" s="85">
        <v>0</v>
      </c>
      <c r="C944" s="6" t="s">
        <v>1357</v>
      </c>
      <c r="D944" s="6">
        <v>406</v>
      </c>
      <c r="E944" s="3" t="s">
        <v>1136</v>
      </c>
      <c r="F944" s="133">
        <v>37255</v>
      </c>
      <c r="G944" s="3" t="s">
        <v>1091</v>
      </c>
    </row>
    <row r="945" spans="1:7" ht="12.75">
      <c r="A945" s="85">
        <v>382</v>
      </c>
      <c r="B945" s="85">
        <v>0</v>
      </c>
      <c r="C945" s="6" t="s">
        <v>1357</v>
      </c>
      <c r="D945" s="6">
        <v>406</v>
      </c>
      <c r="E945" s="3" t="s">
        <v>1137</v>
      </c>
      <c r="F945" s="133">
        <v>37255</v>
      </c>
      <c r="G945" s="3" t="s">
        <v>1091</v>
      </c>
    </row>
    <row r="946" spans="1:7" ht="12.75">
      <c r="A946" s="85">
        <v>392.3</v>
      </c>
      <c r="B946" s="85">
        <v>0</v>
      </c>
      <c r="C946" s="6" t="s">
        <v>1357</v>
      </c>
      <c r="D946" s="6">
        <v>406</v>
      </c>
      <c r="E946" s="3" t="s">
        <v>1138</v>
      </c>
      <c r="F946" s="133">
        <v>37255</v>
      </c>
      <c r="G946" s="3" t="s">
        <v>1091</v>
      </c>
    </row>
    <row r="947" spans="1:5" ht="12.75">
      <c r="A947" s="85">
        <f>390</f>
        <v>390</v>
      </c>
      <c r="B947" s="85">
        <v>0</v>
      </c>
      <c r="C947" s="6" t="s">
        <v>1357</v>
      </c>
      <c r="D947" s="6">
        <v>406</v>
      </c>
      <c r="E947" s="3" t="s">
        <v>276</v>
      </c>
    </row>
    <row r="948" spans="1:7" ht="12.75">
      <c r="A948" s="85">
        <f>396+3</f>
        <v>399</v>
      </c>
      <c r="B948" s="85">
        <v>0</v>
      </c>
      <c r="C948" s="6" t="s">
        <v>1357</v>
      </c>
      <c r="D948" s="6">
        <v>406</v>
      </c>
      <c r="E948" s="3" t="s">
        <v>22</v>
      </c>
      <c r="F948" s="133">
        <v>37253</v>
      </c>
      <c r="G948" s="3" t="s">
        <v>568</v>
      </c>
    </row>
    <row r="949" spans="1:7" ht="12.75">
      <c r="A949" s="85">
        <f>389+3</f>
        <v>392</v>
      </c>
      <c r="B949" s="85">
        <v>0</v>
      </c>
      <c r="C949" s="6" t="s">
        <v>1357</v>
      </c>
      <c r="D949" s="6">
        <v>406</v>
      </c>
      <c r="E949" s="3" t="s">
        <v>23</v>
      </c>
      <c r="F949" s="133">
        <v>37253</v>
      </c>
      <c r="G949" s="3" t="s">
        <v>568</v>
      </c>
    </row>
    <row r="950" spans="1:7" ht="12.75">
      <c r="A950" s="85">
        <v>387.5</v>
      </c>
      <c r="B950" s="85">
        <v>0</v>
      </c>
      <c r="C950" s="6" t="s">
        <v>1357</v>
      </c>
      <c r="D950" s="6">
        <v>406</v>
      </c>
      <c r="E950" s="3" t="s">
        <v>239</v>
      </c>
      <c r="F950" s="133">
        <v>38304</v>
      </c>
      <c r="G950" s="3" t="s">
        <v>194</v>
      </c>
    </row>
    <row r="951" spans="1:7" ht="12.75">
      <c r="A951" s="85">
        <f>392.2+3</f>
        <v>395.2</v>
      </c>
      <c r="B951" s="85">
        <v>0</v>
      </c>
      <c r="C951" s="6" t="s">
        <v>1357</v>
      </c>
      <c r="D951" s="6">
        <v>406</v>
      </c>
      <c r="E951" s="3" t="s">
        <v>1615</v>
      </c>
      <c r="F951" s="133">
        <v>37254</v>
      </c>
      <c r="G951" s="3" t="s">
        <v>157</v>
      </c>
    </row>
    <row r="952" spans="1:7" ht="12.75">
      <c r="A952" s="85">
        <f>392.85+3</f>
        <v>395.85</v>
      </c>
      <c r="B952" s="85">
        <v>0</v>
      </c>
      <c r="C952" s="6" t="s">
        <v>1357</v>
      </c>
      <c r="D952" s="6">
        <v>406</v>
      </c>
      <c r="E952" s="3" t="s">
        <v>1613</v>
      </c>
      <c r="F952" s="133">
        <v>37254</v>
      </c>
      <c r="G952" s="3" t="s">
        <v>157</v>
      </c>
    </row>
    <row r="953" spans="1:7" ht="12.75">
      <c r="A953" s="85">
        <f>392.85+3</f>
        <v>395.85</v>
      </c>
      <c r="B953" s="85">
        <v>0</v>
      </c>
      <c r="C953" s="6" t="s">
        <v>1357</v>
      </c>
      <c r="D953" s="6">
        <v>406</v>
      </c>
      <c r="E953" s="3" t="s">
        <v>1614</v>
      </c>
      <c r="F953" s="133">
        <v>37254</v>
      </c>
      <c r="G953" s="3" t="s">
        <v>157</v>
      </c>
    </row>
    <row r="954" spans="1:7" ht="12.75">
      <c r="A954" s="85">
        <f>373+3</f>
        <v>376</v>
      </c>
      <c r="B954" s="85">
        <v>0</v>
      </c>
      <c r="C954" s="6" t="s">
        <v>1357</v>
      </c>
      <c r="D954" s="6">
        <v>406</v>
      </c>
      <c r="E954" s="3" t="s">
        <v>1616</v>
      </c>
      <c r="F954" s="133">
        <v>37254</v>
      </c>
      <c r="G954" s="3" t="s">
        <v>157</v>
      </c>
    </row>
    <row r="955" spans="1:5" ht="12.75">
      <c r="A955" s="85">
        <v>395</v>
      </c>
      <c r="B955" s="85">
        <v>0</v>
      </c>
      <c r="C955" s="6" t="s">
        <v>1357</v>
      </c>
      <c r="D955" s="6">
        <v>406</v>
      </c>
      <c r="E955" s="3" t="s">
        <v>738</v>
      </c>
    </row>
    <row r="956" spans="1:5" ht="12.75">
      <c r="A956" s="85">
        <v>389</v>
      </c>
      <c r="B956" s="85">
        <v>0</v>
      </c>
      <c r="C956" s="6" t="s">
        <v>1357</v>
      </c>
      <c r="D956" s="6">
        <v>406</v>
      </c>
      <c r="E956" s="3" t="s">
        <v>1361</v>
      </c>
    </row>
    <row r="957" spans="1:5" ht="12.75">
      <c r="A957" s="85">
        <v>393</v>
      </c>
      <c r="B957" s="85">
        <v>0</v>
      </c>
      <c r="C957" s="6" t="s">
        <v>1357</v>
      </c>
      <c r="D957" s="6">
        <v>406</v>
      </c>
      <c r="E957" s="3" t="s">
        <v>740</v>
      </c>
    </row>
    <row r="958" spans="1:7" ht="12.75">
      <c r="A958" s="85">
        <v>395</v>
      </c>
      <c r="B958" s="85">
        <v>0</v>
      </c>
      <c r="C958" s="6" t="s">
        <v>1357</v>
      </c>
      <c r="D958" s="6">
        <v>406</v>
      </c>
      <c r="E958" s="3" t="s">
        <v>148</v>
      </c>
      <c r="G958" s="3" t="s">
        <v>149</v>
      </c>
    </row>
    <row r="959" spans="1:5" ht="12.75">
      <c r="A959" s="85">
        <v>392</v>
      </c>
      <c r="B959" s="85">
        <v>0</v>
      </c>
      <c r="C959" s="6" t="s">
        <v>1357</v>
      </c>
      <c r="D959" s="6">
        <v>406</v>
      </c>
      <c r="E959" s="3" t="s">
        <v>742</v>
      </c>
    </row>
    <row r="960" spans="1:5" ht="12.75">
      <c r="A960" s="85">
        <v>390</v>
      </c>
      <c r="B960" s="85">
        <v>0</v>
      </c>
      <c r="C960" s="6" t="s">
        <v>1357</v>
      </c>
      <c r="D960" s="6">
        <v>406</v>
      </c>
      <c r="E960" s="3" t="s">
        <v>743</v>
      </c>
    </row>
    <row r="961" spans="1:5" ht="12.75">
      <c r="A961" s="85">
        <v>395</v>
      </c>
      <c r="B961" s="85">
        <v>0</v>
      </c>
      <c r="C961" s="6" t="s">
        <v>1357</v>
      </c>
      <c r="D961" s="6">
        <v>406</v>
      </c>
      <c r="E961" s="3" t="s">
        <v>745</v>
      </c>
    </row>
    <row r="962" spans="1:5" ht="12.75">
      <c r="A962" s="85">
        <v>390</v>
      </c>
      <c r="B962" s="85">
        <v>0</v>
      </c>
      <c r="C962" s="6" t="s">
        <v>1357</v>
      </c>
      <c r="D962" s="6">
        <v>406</v>
      </c>
      <c r="E962" s="3" t="s">
        <v>746</v>
      </c>
    </row>
    <row r="963" spans="1:5" ht="12.75">
      <c r="A963" s="85">
        <v>395</v>
      </c>
      <c r="B963" s="85">
        <v>0</v>
      </c>
      <c r="C963" s="6" t="s">
        <v>1357</v>
      </c>
      <c r="D963" s="6">
        <v>406</v>
      </c>
      <c r="E963" s="3" t="s">
        <v>747</v>
      </c>
    </row>
    <row r="964" spans="1:5" ht="12.75">
      <c r="A964" s="85">
        <v>395</v>
      </c>
      <c r="B964" s="85">
        <v>0</v>
      </c>
      <c r="C964" s="6" t="s">
        <v>1357</v>
      </c>
      <c r="D964" s="6">
        <v>406</v>
      </c>
      <c r="E964" s="3" t="s">
        <v>748</v>
      </c>
    </row>
    <row r="965" spans="1:5" ht="12.75">
      <c r="A965" s="85">
        <v>395</v>
      </c>
      <c r="B965" s="85">
        <v>0</v>
      </c>
      <c r="C965" s="6" t="s">
        <v>1357</v>
      </c>
      <c r="D965" s="6">
        <v>406</v>
      </c>
      <c r="E965" s="3" t="s">
        <v>755</v>
      </c>
    </row>
    <row r="966" spans="1:5" ht="12.75">
      <c r="A966" s="85">
        <v>395</v>
      </c>
      <c r="B966" s="85">
        <v>0</v>
      </c>
      <c r="C966" s="6" t="s">
        <v>1357</v>
      </c>
      <c r="D966" s="6">
        <v>406</v>
      </c>
      <c r="E966" s="3" t="s">
        <v>757</v>
      </c>
    </row>
    <row r="967" spans="1:5" ht="12.75">
      <c r="A967" s="85">
        <v>394</v>
      </c>
      <c r="B967" s="85">
        <v>0</v>
      </c>
      <c r="C967" s="6" t="s">
        <v>1357</v>
      </c>
      <c r="D967" s="6">
        <v>406</v>
      </c>
      <c r="E967" s="3" t="s">
        <v>1027</v>
      </c>
    </row>
    <row r="968" spans="1:5" ht="12.75">
      <c r="A968" s="85">
        <v>392</v>
      </c>
      <c r="B968" s="85">
        <v>0</v>
      </c>
      <c r="C968" s="6" t="s">
        <v>1357</v>
      </c>
      <c r="D968" s="6">
        <v>406</v>
      </c>
      <c r="E968" s="3" t="s">
        <v>759</v>
      </c>
    </row>
    <row r="969" spans="1:5" ht="12.75">
      <c r="A969" s="85">
        <v>395</v>
      </c>
      <c r="B969" s="85">
        <v>0</v>
      </c>
      <c r="C969" s="6" t="s">
        <v>1357</v>
      </c>
      <c r="D969" s="6">
        <v>406</v>
      </c>
      <c r="E969" s="3" t="s">
        <v>1029</v>
      </c>
    </row>
    <row r="970" spans="1:7" ht="12.75">
      <c r="A970" s="85">
        <v>395</v>
      </c>
      <c r="B970" s="85">
        <v>0</v>
      </c>
      <c r="C970" s="6" t="s">
        <v>1357</v>
      </c>
      <c r="D970" s="6">
        <v>406</v>
      </c>
      <c r="E970" s="3" t="s">
        <v>240</v>
      </c>
      <c r="F970" s="133">
        <v>38183</v>
      </c>
      <c r="G970" s="3" t="s">
        <v>241</v>
      </c>
    </row>
    <row r="971" spans="1:5" ht="12.75">
      <c r="A971" s="85">
        <v>393</v>
      </c>
      <c r="B971" s="85">
        <v>0</v>
      </c>
      <c r="C971" s="6" t="s">
        <v>1357</v>
      </c>
      <c r="D971" s="6">
        <v>406</v>
      </c>
      <c r="E971" s="3" t="s">
        <v>240</v>
      </c>
    </row>
    <row r="972" spans="1:5" ht="12.75">
      <c r="A972" s="85">
        <v>392</v>
      </c>
      <c r="B972" s="85">
        <v>0</v>
      </c>
      <c r="C972" s="6" t="s">
        <v>1357</v>
      </c>
      <c r="D972" s="6">
        <v>406</v>
      </c>
      <c r="E972" s="3" t="s">
        <v>761</v>
      </c>
    </row>
    <row r="973" spans="1:5" ht="12.75">
      <c r="A973" s="85">
        <v>383</v>
      </c>
      <c r="B973" s="85">
        <v>0</v>
      </c>
      <c r="C973" s="6" t="s">
        <v>1357</v>
      </c>
      <c r="D973" s="6">
        <v>406</v>
      </c>
      <c r="E973" s="3" t="s">
        <v>1348</v>
      </c>
    </row>
    <row r="974" spans="1:5" ht="12.75">
      <c r="A974" s="85">
        <v>364</v>
      </c>
      <c r="B974" s="85">
        <v>0</v>
      </c>
      <c r="C974" s="6" t="s">
        <v>1357</v>
      </c>
      <c r="D974" s="6">
        <v>406</v>
      </c>
      <c r="E974" s="3" t="s">
        <v>1038</v>
      </c>
    </row>
    <row r="975" spans="1:5" ht="12.75">
      <c r="A975" s="85">
        <v>380</v>
      </c>
      <c r="B975" s="85">
        <v>0</v>
      </c>
      <c r="C975" s="6" t="s">
        <v>1357</v>
      </c>
      <c r="D975" s="6">
        <v>406</v>
      </c>
      <c r="E975" s="3" t="s">
        <v>1349</v>
      </c>
    </row>
    <row r="976" spans="1:5" ht="12.75">
      <c r="A976" s="85">
        <v>395</v>
      </c>
      <c r="B976" s="85">
        <v>0</v>
      </c>
      <c r="C976" s="6" t="s">
        <v>1357</v>
      </c>
      <c r="D976" s="6">
        <v>406</v>
      </c>
      <c r="E976" s="3" t="s">
        <v>1350</v>
      </c>
    </row>
    <row r="977" spans="1:7" ht="12.75">
      <c r="A977" s="85">
        <v>376.9</v>
      </c>
      <c r="B977" s="85">
        <v>0</v>
      </c>
      <c r="C977" s="6" t="s">
        <v>1357</v>
      </c>
      <c r="D977" s="6">
        <v>406</v>
      </c>
      <c r="E977" s="3" t="s">
        <v>182</v>
      </c>
      <c r="F977" s="133">
        <v>37089</v>
      </c>
      <c r="G977" s="3" t="s">
        <v>181</v>
      </c>
    </row>
    <row r="978" spans="1:5" ht="12.75">
      <c r="A978" s="85">
        <v>400</v>
      </c>
      <c r="B978" s="85">
        <v>0</v>
      </c>
      <c r="C978" s="6" t="s">
        <v>1357</v>
      </c>
      <c r="D978" s="6">
        <v>406</v>
      </c>
      <c r="E978" s="3" t="s">
        <v>771</v>
      </c>
    </row>
    <row r="979" spans="1:7" ht="12.75">
      <c r="A979" s="85">
        <v>387</v>
      </c>
      <c r="B979" s="85">
        <v>0</v>
      </c>
      <c r="C979" s="6" t="s">
        <v>1357</v>
      </c>
      <c r="D979" s="6">
        <v>406</v>
      </c>
      <c r="E979" s="3" t="s">
        <v>242</v>
      </c>
      <c r="F979" s="133">
        <v>38183</v>
      </c>
      <c r="G979" s="3" t="s">
        <v>241</v>
      </c>
    </row>
    <row r="980" spans="1:5" ht="12.75">
      <c r="A980" s="85">
        <v>363.7</v>
      </c>
      <c r="B980" s="85">
        <v>0</v>
      </c>
      <c r="C980" s="6" t="s">
        <v>1366</v>
      </c>
      <c r="D980" s="6">
        <v>369</v>
      </c>
      <c r="E980" s="3" t="s">
        <v>1367</v>
      </c>
    </row>
    <row r="981" spans="1:5" ht="12.75">
      <c r="A981" s="85">
        <v>364</v>
      </c>
      <c r="B981" s="85">
        <v>0</v>
      </c>
      <c r="C981" s="6" t="s">
        <v>1366</v>
      </c>
      <c r="D981" s="6">
        <v>369</v>
      </c>
      <c r="E981" s="3" t="s">
        <v>1368</v>
      </c>
    </row>
    <row r="982" spans="1:7" ht="12.75">
      <c r="A982" s="85">
        <v>345</v>
      </c>
      <c r="B982" s="85">
        <v>0</v>
      </c>
      <c r="C982" s="6" t="s">
        <v>1369</v>
      </c>
      <c r="D982" s="6">
        <v>349</v>
      </c>
      <c r="E982" s="3" t="s">
        <v>243</v>
      </c>
      <c r="F982" s="133">
        <v>38128</v>
      </c>
      <c r="G982" s="3" t="s">
        <v>244</v>
      </c>
    </row>
    <row r="983" spans="1:5" ht="12.75">
      <c r="A983" s="85">
        <v>330</v>
      </c>
      <c r="B983" s="85">
        <v>0</v>
      </c>
      <c r="C983" s="6" t="s">
        <v>1369</v>
      </c>
      <c r="D983" s="6">
        <v>349</v>
      </c>
      <c r="E983" s="3" t="s">
        <v>752</v>
      </c>
    </row>
    <row r="984" spans="1:7" ht="12.75">
      <c r="A984" s="85">
        <f>326.3+3</f>
        <v>329.3</v>
      </c>
      <c r="B984" s="85">
        <v>0</v>
      </c>
      <c r="C984" s="6" t="s">
        <v>177</v>
      </c>
      <c r="D984" s="6">
        <v>340</v>
      </c>
      <c r="E984" s="3" t="s">
        <v>1615</v>
      </c>
      <c r="F984" s="133">
        <v>37254</v>
      </c>
      <c r="G984" s="3" t="s">
        <v>157</v>
      </c>
    </row>
    <row r="985" spans="1:7" ht="12.75">
      <c r="A985" s="85">
        <v>288</v>
      </c>
      <c r="B985" s="85">
        <v>0</v>
      </c>
      <c r="C985" s="6" t="s">
        <v>174</v>
      </c>
      <c r="D985" s="6">
        <v>305</v>
      </c>
      <c r="E985" s="3" t="s">
        <v>245</v>
      </c>
      <c r="F985" s="133">
        <v>37764</v>
      </c>
      <c r="G985" s="3" t="s">
        <v>246</v>
      </c>
    </row>
    <row r="986" spans="1:7" ht="12.75">
      <c r="A986" s="85">
        <v>262.8</v>
      </c>
      <c r="B986" s="85">
        <v>0</v>
      </c>
      <c r="C986" s="6" t="s">
        <v>174</v>
      </c>
      <c r="D986" s="6">
        <v>305</v>
      </c>
      <c r="E986" s="3" t="s">
        <v>1103</v>
      </c>
      <c r="F986" s="133">
        <v>37255</v>
      </c>
      <c r="G986" s="3" t="s">
        <v>1091</v>
      </c>
    </row>
    <row r="987" spans="1:7" ht="12.75">
      <c r="A987" s="85">
        <f>291.95+3</f>
        <v>294.95</v>
      </c>
      <c r="B987" s="85">
        <v>0</v>
      </c>
      <c r="C987" s="6" t="s">
        <v>174</v>
      </c>
      <c r="D987" s="6">
        <v>305</v>
      </c>
      <c r="E987" s="3" t="s">
        <v>1613</v>
      </c>
      <c r="F987" s="133">
        <v>37254</v>
      </c>
      <c r="G987" s="3" t="s">
        <v>157</v>
      </c>
    </row>
    <row r="988" spans="1:7" ht="12.75">
      <c r="A988" s="85">
        <f>291.95+3</f>
        <v>294.95</v>
      </c>
      <c r="B988" s="85">
        <v>0</v>
      </c>
      <c r="C988" s="6" t="s">
        <v>174</v>
      </c>
      <c r="D988" s="6">
        <v>305</v>
      </c>
      <c r="E988" s="3" t="s">
        <v>1614</v>
      </c>
      <c r="F988" s="133">
        <v>37254</v>
      </c>
      <c r="G988" s="3" t="s">
        <v>157</v>
      </c>
    </row>
  </sheetData>
  <sheetProtection/>
  <hyperlinks>
    <hyperlink ref="G838" r:id="rId1" display="fox-muller@comcast.net"/>
    <hyperlink ref="G528" r:id="rId2" display="velocity@velocityusa.com"/>
    <hyperlink ref="G839" r:id="rId3" display="Kelly_Paasch@und.nodak.edu"/>
    <hyperlink ref="G618" r:id="rId4" display="barsiantony@hotmail.com"/>
    <hyperlink ref="G330" r:id="rId5" display="nick@nickpashley.com"/>
    <hyperlink ref="G551" r:id="rId6" display="Kuthan.Kan@egco.com"/>
    <hyperlink ref="G123" r:id="rId7" display="Kuthan.Kan@egco.com"/>
    <hyperlink ref="G157" r:id="rId8" display="Kuthan.Kan@egco.com"/>
    <hyperlink ref="G600" r:id="rId9" display="Kuthan.Kan@egco.com"/>
    <hyperlink ref="G159" r:id="rId10" display="Kuthan.Kan@egco.com"/>
    <hyperlink ref="G125" r:id="rId11" display="Kuthan.Kan@egco.com"/>
    <hyperlink ref="G601" r:id="rId12" display="Kuthan.Kan@egco.com"/>
    <hyperlink ref="G553" r:id="rId13" display="Kuthan.Kan@egco.com"/>
    <hyperlink ref="G552" r:id="rId14" display="Kuthan.Kan@egco.com"/>
    <hyperlink ref="G126" r:id="rId15" display="Kuthan.Kan@egco.com"/>
    <hyperlink ref="G266" r:id="rId16" display="David.Kahn@tomy.co.uk"/>
    <hyperlink ref="G488" r:id="rId17" display="http://www.salsacycles.com/comps_rims.html"/>
  </hyperlinks>
  <printOptions gridLines="1"/>
  <pageMargins left="0.75" right="0.75" top="1" bottom="1" header="0.5" footer="0.5"/>
  <pageSetup fitToHeight="0" horizontalDpi="300" verticalDpi="300" orientation="portrait" r:id="rId18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S84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6.8515625" style="8" customWidth="1"/>
    <col min="2" max="2" width="7.8515625" style="8" bestFit="1" customWidth="1"/>
    <col min="3" max="3" width="8.57421875" style="8" bestFit="1" customWidth="1"/>
    <col min="4" max="4" width="8.00390625" style="8" bestFit="1" customWidth="1"/>
    <col min="5" max="5" width="8.7109375" style="3" bestFit="1" customWidth="1"/>
    <col min="6" max="6" width="4.00390625" style="3" customWidth="1"/>
    <col min="7" max="7" width="5.140625" style="3" customWidth="1"/>
    <col min="8" max="8" width="9.421875" style="3" customWidth="1"/>
    <col min="9" max="9" width="53.421875" style="3" bestFit="1" customWidth="1"/>
    <col min="10" max="10" width="11.7109375" style="1" bestFit="1" customWidth="1"/>
    <col min="11" max="11" width="46.57421875" style="90" customWidth="1"/>
    <col min="12" max="12" width="13.28125" style="3" customWidth="1"/>
    <col min="13" max="16384" width="9.140625" style="3" customWidth="1"/>
  </cols>
  <sheetData>
    <row r="1" spans="1:11" s="1" customFormat="1" ht="12.75" customHeight="1">
      <c r="A1" s="32" t="s">
        <v>1372</v>
      </c>
      <c r="B1" s="33"/>
      <c r="C1" s="33"/>
      <c r="D1" s="33"/>
      <c r="E1" s="34"/>
      <c r="F1" s="34"/>
      <c r="G1" s="34"/>
      <c r="H1" s="34"/>
      <c r="I1" s="14"/>
      <c r="K1" s="90"/>
    </row>
    <row r="2" spans="1:11" s="1" customFormat="1" ht="12.75" customHeight="1">
      <c r="A2" s="35" t="s">
        <v>1373</v>
      </c>
      <c r="B2" s="36"/>
      <c r="C2" s="36"/>
      <c r="D2" s="36"/>
      <c r="E2" s="37"/>
      <c r="F2" s="37"/>
      <c r="G2" s="37"/>
      <c r="H2" s="37"/>
      <c r="I2" s="24"/>
      <c r="K2" s="90"/>
    </row>
    <row r="3" spans="1:11" s="1" customFormat="1" ht="12.75" customHeight="1">
      <c r="A3" s="35" t="s">
        <v>1374</v>
      </c>
      <c r="B3" s="36"/>
      <c r="C3" s="36"/>
      <c r="D3" s="36"/>
      <c r="E3" s="37"/>
      <c r="F3" s="37"/>
      <c r="G3" s="37"/>
      <c r="H3" s="37"/>
      <c r="I3" s="24"/>
      <c r="K3" s="90"/>
    </row>
    <row r="4" spans="1:11" s="1" customFormat="1" ht="12.75" customHeight="1">
      <c r="A4" s="35" t="s">
        <v>1375</v>
      </c>
      <c r="B4" s="36"/>
      <c r="C4" s="36"/>
      <c r="D4" s="36"/>
      <c r="E4" s="37"/>
      <c r="F4" s="37"/>
      <c r="G4" s="37"/>
      <c r="H4" s="37"/>
      <c r="I4" s="24"/>
      <c r="K4" s="90"/>
    </row>
    <row r="5" spans="1:11" s="1" customFormat="1" ht="12.75" customHeight="1">
      <c r="A5" s="35" t="s">
        <v>1376</v>
      </c>
      <c r="B5" s="36"/>
      <c r="C5" s="36"/>
      <c r="D5" s="36"/>
      <c r="E5" s="37"/>
      <c r="F5" s="37"/>
      <c r="G5" s="37"/>
      <c r="H5" s="37"/>
      <c r="I5" s="24"/>
      <c r="K5" s="90"/>
    </row>
    <row r="6" spans="1:11" s="1" customFormat="1" ht="12.75" customHeight="1">
      <c r="A6" s="38" t="s">
        <v>1377</v>
      </c>
      <c r="B6" s="39"/>
      <c r="C6" s="39"/>
      <c r="D6" s="39"/>
      <c r="E6" s="40"/>
      <c r="F6" s="40"/>
      <c r="G6" s="40"/>
      <c r="H6" s="40"/>
      <c r="I6" s="26"/>
      <c r="K6" s="90"/>
    </row>
    <row r="7" spans="1:11" s="1" customFormat="1" ht="12.75" customHeight="1">
      <c r="A7" s="35"/>
      <c r="B7" s="36"/>
      <c r="C7" s="36"/>
      <c r="D7" s="36"/>
      <c r="E7" s="37"/>
      <c r="F7" s="37"/>
      <c r="G7" s="37"/>
      <c r="H7" s="37"/>
      <c r="I7" s="24"/>
      <c r="K7" s="90"/>
    </row>
    <row r="8" spans="1:11" s="1" customFormat="1" ht="38.25">
      <c r="A8" s="10"/>
      <c r="B8" s="11" t="s">
        <v>1378</v>
      </c>
      <c r="C8" s="12"/>
      <c r="D8" s="11" t="s">
        <v>1379</v>
      </c>
      <c r="E8" s="12"/>
      <c r="F8" s="13"/>
      <c r="G8" s="13"/>
      <c r="H8" s="13"/>
      <c r="I8" s="16" t="s">
        <v>1380</v>
      </c>
      <c r="K8" s="90"/>
    </row>
    <row r="9" spans="1:253" s="18" customFormat="1" ht="12.75">
      <c r="A9" s="66" t="s">
        <v>1381</v>
      </c>
      <c r="B9" s="67" t="s">
        <v>1437</v>
      </c>
      <c r="C9" s="68" t="s">
        <v>1438</v>
      </c>
      <c r="D9" s="67" t="s">
        <v>1439</v>
      </c>
      <c r="E9" s="68" t="s">
        <v>1440</v>
      </c>
      <c r="F9" s="15" t="s">
        <v>1382</v>
      </c>
      <c r="G9" s="15" t="s">
        <v>1383</v>
      </c>
      <c r="H9" s="15" t="s">
        <v>1384</v>
      </c>
      <c r="I9" s="41" t="s">
        <v>1385</v>
      </c>
      <c r="J9" s="1" t="s">
        <v>666</v>
      </c>
      <c r="K9" s="90" t="s">
        <v>1386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1" ht="12.75">
      <c r="A10" s="85">
        <v>2.6</v>
      </c>
      <c r="B10" s="85">
        <v>42.5</v>
      </c>
      <c r="C10" s="85">
        <v>36</v>
      </c>
      <c r="D10" s="85">
        <v>42.5</v>
      </c>
      <c r="E10" s="85">
        <v>36</v>
      </c>
      <c r="F10" s="19" t="s">
        <v>1387</v>
      </c>
      <c r="G10" s="19"/>
      <c r="H10" s="19">
        <v>100</v>
      </c>
      <c r="I10" s="51" t="s">
        <v>412</v>
      </c>
      <c r="J10" s="135">
        <v>37253</v>
      </c>
      <c r="K10" s="90" t="s">
        <v>414</v>
      </c>
    </row>
    <row r="11" spans="1:12" ht="12.75">
      <c r="A11" s="85">
        <v>2.6</v>
      </c>
      <c r="B11" s="85">
        <v>48</v>
      </c>
      <c r="C11" s="85">
        <v>35</v>
      </c>
      <c r="D11" s="85">
        <v>48</v>
      </c>
      <c r="E11" s="85">
        <v>20</v>
      </c>
      <c r="F11" s="6" t="s">
        <v>1574</v>
      </c>
      <c r="G11" s="6"/>
      <c r="H11" s="6">
        <v>135</v>
      </c>
      <c r="I11" s="3" t="s">
        <v>412</v>
      </c>
      <c r="J11" s="135">
        <v>37254</v>
      </c>
      <c r="K11" s="90" t="s">
        <v>414</v>
      </c>
      <c r="L11" s="134"/>
    </row>
    <row r="12" spans="1:10" ht="12.75">
      <c r="A12" s="85">
        <v>2.4</v>
      </c>
      <c r="B12" s="85">
        <v>42</v>
      </c>
      <c r="C12" s="85">
        <v>38.5</v>
      </c>
      <c r="D12" s="85">
        <v>42</v>
      </c>
      <c r="E12" s="85">
        <v>18.5</v>
      </c>
      <c r="F12" s="6" t="s">
        <v>1574</v>
      </c>
      <c r="G12" s="6" t="s">
        <v>1575</v>
      </c>
      <c r="H12" s="6">
        <v>126</v>
      </c>
      <c r="I12" s="7" t="s">
        <v>1388</v>
      </c>
      <c r="J12" s="17"/>
    </row>
    <row r="13" spans="1:10" ht="12.75">
      <c r="A13" s="85">
        <v>2.4</v>
      </c>
      <c r="B13" s="85">
        <v>42</v>
      </c>
      <c r="C13" s="85">
        <v>41</v>
      </c>
      <c r="D13" s="85">
        <v>42</v>
      </c>
      <c r="E13" s="85">
        <v>16</v>
      </c>
      <c r="F13" s="6" t="s">
        <v>1574</v>
      </c>
      <c r="G13" s="6">
        <v>8</v>
      </c>
      <c r="H13" s="6">
        <v>130</v>
      </c>
      <c r="I13" s="7" t="s">
        <v>1388</v>
      </c>
      <c r="J13" s="17"/>
    </row>
    <row r="14" spans="1:10" ht="12.75">
      <c r="A14" s="85">
        <v>2.4</v>
      </c>
      <c r="B14" s="85">
        <v>42</v>
      </c>
      <c r="C14" s="85">
        <v>36.5</v>
      </c>
      <c r="D14" s="85">
        <v>42</v>
      </c>
      <c r="E14" s="85">
        <v>20.5</v>
      </c>
      <c r="F14" s="6" t="s">
        <v>1574</v>
      </c>
      <c r="G14" s="6" t="s">
        <v>1575</v>
      </c>
      <c r="H14" s="6">
        <v>130</v>
      </c>
      <c r="I14" s="7" t="s">
        <v>1388</v>
      </c>
      <c r="J14" s="17"/>
    </row>
    <row r="15" spans="1:10" ht="12.75">
      <c r="A15" s="85">
        <v>2.4</v>
      </c>
      <c r="B15" s="85">
        <v>42</v>
      </c>
      <c r="C15" s="85">
        <v>39</v>
      </c>
      <c r="D15" s="85">
        <v>42</v>
      </c>
      <c r="E15" s="85">
        <v>18</v>
      </c>
      <c r="F15" s="6" t="s">
        <v>1574</v>
      </c>
      <c r="G15" s="6">
        <v>8</v>
      </c>
      <c r="H15" s="6">
        <v>135</v>
      </c>
      <c r="I15" s="7" t="s">
        <v>1388</v>
      </c>
      <c r="J15" s="17"/>
    </row>
    <row r="16" spans="1:10" ht="12.75">
      <c r="A16" s="85">
        <v>2.4</v>
      </c>
      <c r="B16" s="85">
        <v>42</v>
      </c>
      <c r="C16" s="85">
        <v>34</v>
      </c>
      <c r="D16" s="85">
        <v>42</v>
      </c>
      <c r="E16" s="85">
        <v>23</v>
      </c>
      <c r="F16" s="6" t="s">
        <v>1574</v>
      </c>
      <c r="G16" s="6" t="s">
        <v>1575</v>
      </c>
      <c r="H16" s="6">
        <v>135</v>
      </c>
      <c r="I16" s="7" t="s">
        <v>1388</v>
      </c>
      <c r="J16" s="17"/>
    </row>
    <row r="17" spans="1:10" ht="12.75">
      <c r="A17" s="85">
        <v>2.4</v>
      </c>
      <c r="B17" s="85">
        <v>42</v>
      </c>
      <c r="C17" s="85">
        <v>36.5</v>
      </c>
      <c r="D17" s="85">
        <v>42</v>
      </c>
      <c r="E17" s="85">
        <v>20.5</v>
      </c>
      <c r="F17" s="6" t="s">
        <v>1574</v>
      </c>
      <c r="G17" s="6">
        <v>8</v>
      </c>
      <c r="H17" s="6">
        <v>140</v>
      </c>
      <c r="I17" s="7" t="s">
        <v>1388</v>
      </c>
      <c r="J17" s="17"/>
    </row>
    <row r="18" spans="1:11" ht="12.75">
      <c r="A18" s="85">
        <v>2.6</v>
      </c>
      <c r="B18" s="85">
        <v>56.5</v>
      </c>
      <c r="C18" s="85">
        <v>23</v>
      </c>
      <c r="D18" s="85">
        <v>56.5</v>
      </c>
      <c r="E18" s="85">
        <v>36</v>
      </c>
      <c r="F18" s="19" t="s">
        <v>1387</v>
      </c>
      <c r="G18" s="19"/>
      <c r="H18" s="19">
        <v>100</v>
      </c>
      <c r="I18" s="51" t="s">
        <v>1515</v>
      </c>
      <c r="J18" s="135">
        <v>37254</v>
      </c>
      <c r="K18" s="90" t="s">
        <v>283</v>
      </c>
    </row>
    <row r="19" spans="1:11" ht="12.75">
      <c r="A19" s="85">
        <v>2.6</v>
      </c>
      <c r="B19" s="85">
        <v>66.2</v>
      </c>
      <c r="C19" s="85">
        <v>29</v>
      </c>
      <c r="D19" s="85">
        <v>66.2</v>
      </c>
      <c r="E19" s="85">
        <v>19</v>
      </c>
      <c r="F19" s="6" t="s">
        <v>1574</v>
      </c>
      <c r="G19" s="6" t="s">
        <v>1577</v>
      </c>
      <c r="H19" s="6">
        <v>135</v>
      </c>
      <c r="I19" s="7" t="s">
        <v>1516</v>
      </c>
      <c r="J19" s="135">
        <v>37254</v>
      </c>
      <c r="K19" s="90" t="s">
        <v>283</v>
      </c>
    </row>
    <row r="20" spans="1:11" ht="12.75">
      <c r="A20" s="85">
        <v>2.6</v>
      </c>
      <c r="B20" s="85">
        <v>47</v>
      </c>
      <c r="C20" s="85">
        <v>36</v>
      </c>
      <c r="D20" s="85">
        <v>47</v>
      </c>
      <c r="E20" s="85">
        <v>36</v>
      </c>
      <c r="F20" s="19" t="s">
        <v>1387</v>
      </c>
      <c r="G20" s="19"/>
      <c r="H20" s="19">
        <v>100</v>
      </c>
      <c r="I20" s="51" t="s">
        <v>1518</v>
      </c>
      <c r="J20" s="135">
        <v>37728</v>
      </c>
      <c r="K20" s="90" t="s">
        <v>283</v>
      </c>
    </row>
    <row r="21" spans="1:11" ht="12.75">
      <c r="A21" s="85">
        <v>2.6</v>
      </c>
      <c r="B21" s="85">
        <v>30</v>
      </c>
      <c r="C21" s="85">
        <v>33.5</v>
      </c>
      <c r="D21" s="85">
        <v>30</v>
      </c>
      <c r="E21" s="85">
        <v>33.5</v>
      </c>
      <c r="F21" s="6" t="s">
        <v>1387</v>
      </c>
      <c r="G21" s="6"/>
      <c r="H21" s="6">
        <v>100</v>
      </c>
      <c r="I21" s="4" t="s">
        <v>1517</v>
      </c>
      <c r="J21" s="135">
        <v>37254</v>
      </c>
      <c r="K21" s="90" t="s">
        <v>283</v>
      </c>
    </row>
    <row r="22" spans="1:11" ht="12.75">
      <c r="A22" s="85">
        <v>2.4</v>
      </c>
      <c r="B22" s="85">
        <v>30</v>
      </c>
      <c r="C22" s="85">
        <v>25</v>
      </c>
      <c r="D22" s="85">
        <v>30</v>
      </c>
      <c r="E22" s="85">
        <v>25</v>
      </c>
      <c r="F22" s="6" t="s">
        <v>1387</v>
      </c>
      <c r="G22" s="6"/>
      <c r="H22" s="6">
        <v>100</v>
      </c>
      <c r="I22" s="4" t="s">
        <v>282</v>
      </c>
      <c r="J22" s="17"/>
      <c r="K22" s="90" t="s">
        <v>283</v>
      </c>
    </row>
    <row r="23" spans="1:11" ht="12.75">
      <c r="A23" s="85">
        <v>2.4</v>
      </c>
      <c r="B23" s="85">
        <v>47</v>
      </c>
      <c r="C23" s="85">
        <v>36</v>
      </c>
      <c r="D23" s="85">
        <v>47</v>
      </c>
      <c r="E23" s="85">
        <v>36</v>
      </c>
      <c r="F23" s="19" t="s">
        <v>1387</v>
      </c>
      <c r="G23" s="19"/>
      <c r="H23" s="19">
        <v>100</v>
      </c>
      <c r="I23" s="20" t="s">
        <v>1520</v>
      </c>
      <c r="J23" s="17"/>
      <c r="K23" s="90" t="s">
        <v>283</v>
      </c>
    </row>
    <row r="24" spans="1:11" ht="12.75">
      <c r="A24" s="85">
        <v>2.6</v>
      </c>
      <c r="B24" s="85">
        <v>42</v>
      </c>
      <c r="C24" s="85">
        <v>34.5</v>
      </c>
      <c r="D24" s="85">
        <v>42</v>
      </c>
      <c r="E24" s="85">
        <v>34.5</v>
      </c>
      <c r="F24" s="19" t="s">
        <v>1387</v>
      </c>
      <c r="G24" s="19"/>
      <c r="H24" s="19">
        <v>100</v>
      </c>
      <c r="I24" s="51" t="s">
        <v>1576</v>
      </c>
      <c r="J24" s="135">
        <v>37254</v>
      </c>
      <c r="K24" s="90" t="s">
        <v>283</v>
      </c>
    </row>
    <row r="25" spans="1:11" ht="12.75">
      <c r="A25" s="85">
        <v>2.6</v>
      </c>
      <c r="B25" s="85">
        <v>42</v>
      </c>
      <c r="C25" s="85">
        <v>30.5</v>
      </c>
      <c r="D25" s="85">
        <v>42</v>
      </c>
      <c r="E25" s="85">
        <v>30.5</v>
      </c>
      <c r="F25" s="6" t="s">
        <v>1574</v>
      </c>
      <c r="G25" s="6">
        <v>1</v>
      </c>
      <c r="H25" s="6">
        <v>121</v>
      </c>
      <c r="I25" s="7" t="s">
        <v>1576</v>
      </c>
      <c r="J25" s="135">
        <v>37254</v>
      </c>
      <c r="K25" s="90" t="s">
        <v>283</v>
      </c>
    </row>
    <row r="26" spans="1:11" ht="12.75">
      <c r="A26" s="85">
        <v>2.4</v>
      </c>
      <c r="B26" s="85">
        <v>66.2</v>
      </c>
      <c r="C26" s="85">
        <v>31</v>
      </c>
      <c r="D26" s="85">
        <v>66.2</v>
      </c>
      <c r="E26" s="85">
        <v>17</v>
      </c>
      <c r="F26" s="6" t="s">
        <v>1574</v>
      </c>
      <c r="G26" s="6" t="s">
        <v>1577</v>
      </c>
      <c r="H26" s="6">
        <v>130</v>
      </c>
      <c r="I26" s="7" t="s">
        <v>1592</v>
      </c>
      <c r="J26" s="17"/>
      <c r="K26" s="90" t="s">
        <v>283</v>
      </c>
    </row>
    <row r="27" spans="1:11" ht="12.75">
      <c r="A27" s="85">
        <v>2.4</v>
      </c>
      <c r="B27" s="85">
        <v>66.2</v>
      </c>
      <c r="C27" s="85">
        <v>29</v>
      </c>
      <c r="D27" s="85">
        <v>66.2</v>
      </c>
      <c r="E27" s="85">
        <v>19</v>
      </c>
      <c r="F27" s="6" t="s">
        <v>1574</v>
      </c>
      <c r="G27" s="6" t="s">
        <v>1577</v>
      </c>
      <c r="H27" s="6">
        <v>135</v>
      </c>
      <c r="I27" s="7" t="s">
        <v>1593</v>
      </c>
      <c r="J27" s="17"/>
      <c r="K27" s="90" t="s">
        <v>283</v>
      </c>
    </row>
    <row r="28" spans="1:11" ht="12.75">
      <c r="A28" s="85">
        <v>2.4</v>
      </c>
      <c r="B28" s="85">
        <v>42</v>
      </c>
      <c r="C28" s="85">
        <v>29</v>
      </c>
      <c r="D28" s="85">
        <v>42</v>
      </c>
      <c r="E28" s="85">
        <v>19</v>
      </c>
      <c r="F28" s="6" t="s">
        <v>1574</v>
      </c>
      <c r="G28" s="6" t="s">
        <v>1577</v>
      </c>
      <c r="H28" s="6">
        <v>135</v>
      </c>
      <c r="I28" s="7" t="s">
        <v>808</v>
      </c>
      <c r="J28" s="136">
        <v>38635</v>
      </c>
      <c r="K28" s="102" t="s">
        <v>809</v>
      </c>
    </row>
    <row r="29" spans="1:11" ht="12.75">
      <c r="A29" s="85">
        <v>2.6</v>
      </c>
      <c r="B29" s="85">
        <v>45</v>
      </c>
      <c r="C29" s="85">
        <v>35</v>
      </c>
      <c r="D29" s="85">
        <v>45</v>
      </c>
      <c r="E29" s="85">
        <v>20</v>
      </c>
      <c r="F29" s="6" t="s">
        <v>1574</v>
      </c>
      <c r="G29" s="6"/>
      <c r="H29" s="6">
        <v>135</v>
      </c>
      <c r="I29" s="7" t="s">
        <v>506</v>
      </c>
      <c r="J29" s="135">
        <v>37254</v>
      </c>
      <c r="K29" s="90" t="s">
        <v>414</v>
      </c>
    </row>
    <row r="30" spans="1:11" ht="12.75">
      <c r="A30" s="85">
        <v>2.6</v>
      </c>
      <c r="B30" s="85">
        <v>45</v>
      </c>
      <c r="C30" s="85">
        <v>32</v>
      </c>
      <c r="D30" s="85">
        <v>45</v>
      </c>
      <c r="E30" s="85">
        <v>19</v>
      </c>
      <c r="F30" s="6" t="s">
        <v>1574</v>
      </c>
      <c r="G30" s="6"/>
      <c r="H30" s="6">
        <v>135</v>
      </c>
      <c r="I30" s="7" t="s">
        <v>507</v>
      </c>
      <c r="J30" s="135">
        <v>37254</v>
      </c>
      <c r="K30" s="90" t="s">
        <v>414</v>
      </c>
    </row>
    <row r="31" spans="1:11" ht="12.75">
      <c r="A31" s="85">
        <v>2.4</v>
      </c>
      <c r="B31" s="85">
        <v>62.2</v>
      </c>
      <c r="C31" s="85">
        <v>20.2</v>
      </c>
      <c r="D31" s="85">
        <v>45.3</v>
      </c>
      <c r="E31" s="85">
        <v>38.2</v>
      </c>
      <c r="F31" s="6" t="s">
        <v>1387</v>
      </c>
      <c r="G31" s="6"/>
      <c r="H31" s="6">
        <v>100</v>
      </c>
      <c r="I31" s="7" t="s">
        <v>247</v>
      </c>
      <c r="J31" s="135">
        <v>37764</v>
      </c>
      <c r="K31" s="90" t="s">
        <v>246</v>
      </c>
    </row>
    <row r="32" spans="1:11" ht="12.75">
      <c r="A32" s="85">
        <v>2.5</v>
      </c>
      <c r="B32" s="87">
        <v>38</v>
      </c>
      <c r="C32" s="85">
        <v>34.1</v>
      </c>
      <c r="D32" s="85">
        <v>38</v>
      </c>
      <c r="E32" s="85">
        <v>34.1</v>
      </c>
      <c r="F32" s="19" t="s">
        <v>1387</v>
      </c>
      <c r="G32" s="19"/>
      <c r="H32" s="19">
        <v>100</v>
      </c>
      <c r="I32" s="51" t="s">
        <v>1124</v>
      </c>
      <c r="J32" s="135">
        <v>37301</v>
      </c>
      <c r="K32" s="90" t="s">
        <v>154</v>
      </c>
    </row>
    <row r="33" spans="1:11" ht="12.75">
      <c r="A33" s="85">
        <v>2.5</v>
      </c>
      <c r="B33" s="85">
        <v>45</v>
      </c>
      <c r="C33" s="85">
        <v>33.3</v>
      </c>
      <c r="D33" s="85">
        <v>45</v>
      </c>
      <c r="E33" s="85">
        <v>20.3</v>
      </c>
      <c r="F33" s="19" t="s">
        <v>1574</v>
      </c>
      <c r="G33" s="19"/>
      <c r="H33" s="19">
        <v>135</v>
      </c>
      <c r="I33" s="51" t="s">
        <v>1125</v>
      </c>
      <c r="J33" s="135">
        <v>37301</v>
      </c>
      <c r="K33" s="90" t="s">
        <v>154</v>
      </c>
    </row>
    <row r="34" spans="1:11" ht="12.75">
      <c r="A34" s="85">
        <v>2.5</v>
      </c>
      <c r="B34" s="85">
        <v>38</v>
      </c>
      <c r="C34" s="85">
        <v>34.95</v>
      </c>
      <c r="D34" s="85">
        <v>38</v>
      </c>
      <c r="E34" s="85">
        <v>35</v>
      </c>
      <c r="F34" s="19" t="s">
        <v>1387</v>
      </c>
      <c r="G34" s="19"/>
      <c r="H34" s="19">
        <v>100</v>
      </c>
      <c r="I34" s="51" t="s">
        <v>137</v>
      </c>
      <c r="J34" s="135">
        <v>37309</v>
      </c>
      <c r="K34" s="90" t="s">
        <v>158</v>
      </c>
    </row>
    <row r="35" spans="1:11" ht="12.75">
      <c r="A35" s="85">
        <v>2.5</v>
      </c>
      <c r="B35" s="85">
        <v>45</v>
      </c>
      <c r="C35" s="85">
        <v>38.7</v>
      </c>
      <c r="D35" s="85">
        <v>45</v>
      </c>
      <c r="E35" s="85">
        <v>20.3</v>
      </c>
      <c r="F35" s="19" t="s">
        <v>1574</v>
      </c>
      <c r="G35" s="19"/>
      <c r="H35" s="19">
        <v>135</v>
      </c>
      <c r="I35" s="51" t="s">
        <v>1109</v>
      </c>
      <c r="J35" s="135">
        <v>37301</v>
      </c>
      <c r="K35" s="90" t="s">
        <v>154</v>
      </c>
    </row>
    <row r="36" spans="1:11" ht="12.75">
      <c r="A36" s="85">
        <v>2.5</v>
      </c>
      <c r="B36" s="85">
        <v>58</v>
      </c>
      <c r="C36" s="85">
        <v>23.25</v>
      </c>
      <c r="D36" s="85">
        <v>45</v>
      </c>
      <c r="E36" s="85">
        <v>35.25</v>
      </c>
      <c r="F36" s="19" t="s">
        <v>1387</v>
      </c>
      <c r="G36" s="19"/>
      <c r="H36" s="19">
        <v>100</v>
      </c>
      <c r="I36" s="51" t="s">
        <v>1127</v>
      </c>
      <c r="J36" s="135">
        <v>37313</v>
      </c>
      <c r="K36" s="90" t="s">
        <v>158</v>
      </c>
    </row>
    <row r="37" spans="1:11" ht="12.75">
      <c r="A37" s="85">
        <v>2.5</v>
      </c>
      <c r="B37" s="85">
        <v>58</v>
      </c>
      <c r="C37" s="85">
        <v>33.75</v>
      </c>
      <c r="D37" s="85">
        <v>58</v>
      </c>
      <c r="E37" s="85">
        <v>20.35</v>
      </c>
      <c r="F37" s="19" t="s">
        <v>1574</v>
      </c>
      <c r="G37" s="19"/>
      <c r="H37" s="19">
        <v>135</v>
      </c>
      <c r="I37" s="51" t="s">
        <v>1128</v>
      </c>
      <c r="J37" s="135">
        <v>37306</v>
      </c>
      <c r="K37" s="90" t="s">
        <v>158</v>
      </c>
    </row>
    <row r="38" spans="1:11" ht="12.75">
      <c r="A38" s="85">
        <v>2.5</v>
      </c>
      <c r="B38" s="85">
        <v>58</v>
      </c>
      <c r="C38" s="85">
        <v>22.4</v>
      </c>
      <c r="D38" s="85">
        <v>58</v>
      </c>
      <c r="E38" s="85">
        <v>32.5</v>
      </c>
      <c r="F38" s="19" t="s">
        <v>1387</v>
      </c>
      <c r="G38" s="19"/>
      <c r="H38" s="19">
        <v>100</v>
      </c>
      <c r="I38" s="51" t="s">
        <v>1110</v>
      </c>
      <c r="J38" s="135">
        <v>37300</v>
      </c>
      <c r="K38" s="90" t="s">
        <v>154</v>
      </c>
    </row>
    <row r="39" spans="1:11" ht="12.75">
      <c r="A39" s="85">
        <v>2.5</v>
      </c>
      <c r="B39" s="85">
        <v>58</v>
      </c>
      <c r="C39" s="85">
        <v>34.4</v>
      </c>
      <c r="D39" s="85">
        <v>58</v>
      </c>
      <c r="E39" s="85">
        <v>20.4</v>
      </c>
      <c r="F39" s="19" t="s">
        <v>1574</v>
      </c>
      <c r="G39" s="19"/>
      <c r="H39" s="19">
        <v>135</v>
      </c>
      <c r="I39" s="51" t="s">
        <v>1113</v>
      </c>
      <c r="J39" s="135">
        <v>37300</v>
      </c>
      <c r="K39" s="90" t="s">
        <v>154</v>
      </c>
    </row>
    <row r="40" spans="1:11" ht="12.75">
      <c r="A40" s="85">
        <v>2.5</v>
      </c>
      <c r="B40" s="85">
        <v>42</v>
      </c>
      <c r="C40" s="85">
        <v>32.75</v>
      </c>
      <c r="D40" s="85">
        <v>42</v>
      </c>
      <c r="E40" s="85">
        <v>32.75</v>
      </c>
      <c r="F40" s="19" t="s">
        <v>1387</v>
      </c>
      <c r="G40" s="19"/>
      <c r="H40" s="19">
        <v>100</v>
      </c>
      <c r="I40" s="51" t="s">
        <v>139</v>
      </c>
      <c r="J40" s="135">
        <v>37309</v>
      </c>
      <c r="K40" s="90" t="s">
        <v>158</v>
      </c>
    </row>
    <row r="41" spans="1:11" ht="12.75">
      <c r="A41" s="85">
        <v>2.5</v>
      </c>
      <c r="B41" s="85">
        <v>45</v>
      </c>
      <c r="C41" s="85">
        <v>38.45</v>
      </c>
      <c r="D41" s="85">
        <v>58</v>
      </c>
      <c r="E41" s="85">
        <v>20.25</v>
      </c>
      <c r="F41" s="19" t="s">
        <v>1574</v>
      </c>
      <c r="G41" s="19" t="s">
        <v>1577</v>
      </c>
      <c r="H41" s="19">
        <v>135</v>
      </c>
      <c r="I41" s="51" t="s">
        <v>1589</v>
      </c>
      <c r="J41" s="135">
        <v>37413</v>
      </c>
      <c r="K41" s="90" t="s">
        <v>158</v>
      </c>
    </row>
    <row r="42" spans="1:11" ht="12.75">
      <c r="A42" s="85">
        <v>2.5</v>
      </c>
      <c r="B42" s="85">
        <v>58</v>
      </c>
      <c r="C42" s="85">
        <v>16.7</v>
      </c>
      <c r="D42" s="85">
        <v>45</v>
      </c>
      <c r="E42" s="85">
        <v>27.2</v>
      </c>
      <c r="F42" s="19" t="s">
        <v>1387</v>
      </c>
      <c r="G42" s="19"/>
      <c r="H42" s="19">
        <v>100</v>
      </c>
      <c r="I42" s="51" t="s">
        <v>31</v>
      </c>
      <c r="J42" s="135">
        <v>37258</v>
      </c>
      <c r="K42" s="90" t="s">
        <v>154</v>
      </c>
    </row>
    <row r="43" spans="1:11" ht="12.75">
      <c r="A43" s="85">
        <v>2.5</v>
      </c>
      <c r="B43" s="85">
        <v>58</v>
      </c>
      <c r="C43" s="85">
        <v>33.85</v>
      </c>
      <c r="D43" s="85">
        <v>58</v>
      </c>
      <c r="E43" s="85">
        <v>20.25</v>
      </c>
      <c r="F43" s="19" t="s">
        <v>1574</v>
      </c>
      <c r="G43" s="19"/>
      <c r="H43" s="19">
        <v>135</v>
      </c>
      <c r="I43" s="51" t="s">
        <v>1105</v>
      </c>
      <c r="J43" s="135">
        <v>37258</v>
      </c>
      <c r="K43" s="90" t="s">
        <v>154</v>
      </c>
    </row>
    <row r="44" spans="1:11" ht="12.75">
      <c r="A44" s="85">
        <v>2.5</v>
      </c>
      <c r="B44" s="85">
        <v>38</v>
      </c>
      <c r="C44" s="85">
        <v>34.05</v>
      </c>
      <c r="D44" s="85">
        <v>38</v>
      </c>
      <c r="E44" s="85">
        <v>34.05</v>
      </c>
      <c r="F44" s="19" t="s">
        <v>1387</v>
      </c>
      <c r="G44" s="19"/>
      <c r="H44" s="19">
        <v>100</v>
      </c>
      <c r="I44" s="51" t="s">
        <v>1114</v>
      </c>
      <c r="J44" s="135">
        <v>37301</v>
      </c>
      <c r="K44" s="90" t="s">
        <v>154</v>
      </c>
    </row>
    <row r="45" spans="1:11" ht="12.75">
      <c r="A45" s="85">
        <v>2.5</v>
      </c>
      <c r="B45" s="85">
        <v>45</v>
      </c>
      <c r="C45" s="85">
        <v>33.25</v>
      </c>
      <c r="D45" s="85">
        <v>45</v>
      </c>
      <c r="E45" s="85">
        <v>20.25</v>
      </c>
      <c r="F45" s="19" t="s">
        <v>1574</v>
      </c>
      <c r="G45" s="19"/>
      <c r="H45" s="19">
        <v>135</v>
      </c>
      <c r="I45" s="51" t="s">
        <v>1123</v>
      </c>
      <c r="J45" s="135">
        <v>37301</v>
      </c>
      <c r="K45" s="90" t="s">
        <v>154</v>
      </c>
    </row>
    <row r="46" spans="1:11" ht="12.75">
      <c r="A46" s="85">
        <v>2.5</v>
      </c>
      <c r="B46" s="85">
        <v>44</v>
      </c>
      <c r="C46" s="85">
        <v>39</v>
      </c>
      <c r="D46" s="85">
        <v>53</v>
      </c>
      <c r="E46" s="85">
        <v>20.5</v>
      </c>
      <c r="F46" s="6" t="s">
        <v>1574</v>
      </c>
      <c r="G46" s="6"/>
      <c r="H46" s="6">
        <v>135</v>
      </c>
      <c r="I46" s="7" t="s">
        <v>1106</v>
      </c>
      <c r="J46" s="135">
        <v>37263</v>
      </c>
      <c r="K46" s="90" t="s">
        <v>158</v>
      </c>
    </row>
    <row r="47" spans="1:11" ht="12.75">
      <c r="A47" s="85">
        <v>2.5</v>
      </c>
      <c r="B47" s="85">
        <v>44</v>
      </c>
      <c r="C47" s="85">
        <v>36.5</v>
      </c>
      <c r="D47" s="85">
        <v>53</v>
      </c>
      <c r="E47" s="85">
        <v>23</v>
      </c>
      <c r="F47" s="6" t="s">
        <v>1574</v>
      </c>
      <c r="G47" s="6"/>
      <c r="H47" s="6">
        <v>130</v>
      </c>
      <c r="I47" s="7" t="s">
        <v>123</v>
      </c>
      <c r="J47" s="135">
        <v>37327</v>
      </c>
      <c r="K47" s="90" t="s">
        <v>158</v>
      </c>
    </row>
    <row r="48" spans="1:11" ht="12.75">
      <c r="A48" s="85">
        <v>2.5</v>
      </c>
      <c r="B48" s="85">
        <v>45</v>
      </c>
      <c r="C48" s="85">
        <v>38.5</v>
      </c>
      <c r="D48" s="85">
        <v>58</v>
      </c>
      <c r="E48" s="85">
        <v>20.2</v>
      </c>
      <c r="F48" s="19" t="s">
        <v>1574</v>
      </c>
      <c r="G48" s="19"/>
      <c r="H48" s="19">
        <v>135</v>
      </c>
      <c r="I48" s="51" t="s">
        <v>1126</v>
      </c>
      <c r="J48" s="135">
        <v>37256</v>
      </c>
      <c r="K48" s="90" t="s">
        <v>154</v>
      </c>
    </row>
    <row r="49" spans="1:11" ht="12.75">
      <c r="A49" s="85">
        <v>2.5</v>
      </c>
      <c r="B49" s="88">
        <v>40.5</v>
      </c>
      <c r="C49" s="85">
        <v>37.4</v>
      </c>
      <c r="D49" s="85">
        <v>40.5</v>
      </c>
      <c r="E49" s="85">
        <v>37.4</v>
      </c>
      <c r="F49" s="19" t="s">
        <v>1387</v>
      </c>
      <c r="G49" s="19"/>
      <c r="H49" s="19">
        <v>100</v>
      </c>
      <c r="I49" s="51" t="s">
        <v>1107</v>
      </c>
      <c r="J49" s="135">
        <v>37301</v>
      </c>
      <c r="K49" s="90" t="s">
        <v>154</v>
      </c>
    </row>
    <row r="50" spans="1:11" ht="12.75">
      <c r="A50" s="85">
        <v>2.5</v>
      </c>
      <c r="B50" s="85">
        <v>38</v>
      </c>
      <c r="C50" s="85">
        <v>35</v>
      </c>
      <c r="D50" s="85">
        <v>38</v>
      </c>
      <c r="E50" s="85">
        <v>35</v>
      </c>
      <c r="F50" s="19" t="s">
        <v>1387</v>
      </c>
      <c r="G50" s="19"/>
      <c r="H50" s="19">
        <v>100</v>
      </c>
      <c r="I50" s="51" t="s">
        <v>1108</v>
      </c>
      <c r="J50" s="135">
        <v>37256</v>
      </c>
      <c r="K50" s="90" t="s">
        <v>154</v>
      </c>
    </row>
    <row r="51" spans="1:11" ht="12.75">
      <c r="A51" s="85">
        <v>2.5</v>
      </c>
      <c r="B51" s="85">
        <v>38</v>
      </c>
      <c r="C51" s="85">
        <v>35</v>
      </c>
      <c r="D51" s="85">
        <v>38</v>
      </c>
      <c r="E51" s="85">
        <v>35</v>
      </c>
      <c r="F51" s="19" t="s">
        <v>1387</v>
      </c>
      <c r="G51" s="19"/>
      <c r="H51" s="19">
        <v>100</v>
      </c>
      <c r="I51" s="51" t="s">
        <v>1335</v>
      </c>
      <c r="J51" s="135">
        <v>37327</v>
      </c>
      <c r="K51" s="90" t="s">
        <v>158</v>
      </c>
    </row>
    <row r="52" spans="1:11" ht="12.75">
      <c r="A52" s="85">
        <v>2.5</v>
      </c>
      <c r="B52" s="85">
        <v>45</v>
      </c>
      <c r="C52" s="85">
        <v>36.25</v>
      </c>
      <c r="D52" s="85">
        <v>58</v>
      </c>
      <c r="E52" s="85">
        <v>22.25</v>
      </c>
      <c r="F52" s="19" t="s">
        <v>1387</v>
      </c>
      <c r="G52" s="19"/>
      <c r="H52" s="19">
        <v>100</v>
      </c>
      <c r="I52" s="51" t="s">
        <v>437</v>
      </c>
      <c r="J52" s="135">
        <v>37573</v>
      </c>
      <c r="K52" s="90" t="s">
        <v>158</v>
      </c>
    </row>
    <row r="53" spans="1:11" ht="12.75">
      <c r="A53" s="85">
        <v>2.5</v>
      </c>
      <c r="B53" s="85">
        <v>58</v>
      </c>
      <c r="C53" s="85">
        <v>33.85</v>
      </c>
      <c r="D53" s="85">
        <v>58</v>
      </c>
      <c r="E53" s="85">
        <v>20.25</v>
      </c>
      <c r="F53" s="19" t="s">
        <v>1574</v>
      </c>
      <c r="G53" s="19"/>
      <c r="H53" s="19">
        <v>135</v>
      </c>
      <c r="I53" s="51" t="s">
        <v>32</v>
      </c>
      <c r="J53" s="135">
        <v>37908</v>
      </c>
      <c r="K53" s="90" t="s">
        <v>158</v>
      </c>
    </row>
    <row r="54" spans="1:11" ht="12.75">
      <c r="A54" s="85">
        <v>2.5</v>
      </c>
      <c r="B54" s="85">
        <v>58</v>
      </c>
      <c r="C54" s="85">
        <v>22.4</v>
      </c>
      <c r="D54" s="85">
        <v>46</v>
      </c>
      <c r="E54" s="86">
        <v>35.35</v>
      </c>
      <c r="F54" s="19" t="s">
        <v>1387</v>
      </c>
      <c r="G54" s="19"/>
      <c r="H54" s="19">
        <v>100</v>
      </c>
      <c r="I54" s="51" t="s">
        <v>248</v>
      </c>
      <c r="J54" s="135">
        <v>37824</v>
      </c>
      <c r="K54" s="90" t="s">
        <v>154</v>
      </c>
    </row>
    <row r="55" spans="1:11" ht="12.75">
      <c r="A55" s="85">
        <v>2.5</v>
      </c>
      <c r="B55" s="85">
        <v>58</v>
      </c>
      <c r="C55" s="85">
        <v>34</v>
      </c>
      <c r="D55" s="85">
        <v>46</v>
      </c>
      <c r="E55" s="86">
        <v>19.45</v>
      </c>
      <c r="F55" s="19" t="s">
        <v>1574</v>
      </c>
      <c r="G55" s="19" t="s">
        <v>564</v>
      </c>
      <c r="H55" s="19">
        <v>135</v>
      </c>
      <c r="I55" s="51" t="s">
        <v>249</v>
      </c>
      <c r="J55" s="135">
        <v>37824</v>
      </c>
      <c r="K55" s="90" t="s">
        <v>154</v>
      </c>
    </row>
    <row r="56" spans="1:11" ht="12.75">
      <c r="A56" s="85">
        <v>2.5</v>
      </c>
      <c r="B56" s="85">
        <v>47</v>
      </c>
      <c r="C56" s="85">
        <f>21+3.5/2</f>
        <v>22.75</v>
      </c>
      <c r="D56" s="85">
        <v>40</v>
      </c>
      <c r="E56" s="85">
        <f>31.66+3.5/2</f>
        <v>33.41</v>
      </c>
      <c r="F56" s="19" t="s">
        <v>1387</v>
      </c>
      <c r="G56" s="19"/>
      <c r="H56" s="19">
        <v>100</v>
      </c>
      <c r="I56" s="51" t="s">
        <v>938</v>
      </c>
      <c r="J56" s="135">
        <v>38054</v>
      </c>
      <c r="K56" s="90" t="s">
        <v>158</v>
      </c>
    </row>
    <row r="57" spans="1:11" ht="12.75">
      <c r="A57" s="85">
        <v>2.5</v>
      </c>
      <c r="B57" s="85">
        <v>47</v>
      </c>
      <c r="C57" s="85">
        <f>135/2-36.8-3.5/2</f>
        <v>28.950000000000003</v>
      </c>
      <c r="D57" s="85">
        <v>47</v>
      </c>
      <c r="E57" s="85">
        <f>135/2-44.6+3.5/2</f>
        <v>24.65</v>
      </c>
      <c r="F57" s="19" t="s">
        <v>1574</v>
      </c>
      <c r="G57" s="19"/>
      <c r="H57" s="19">
        <v>135</v>
      </c>
      <c r="I57" s="51" t="s">
        <v>939</v>
      </c>
      <c r="J57" s="135">
        <v>38054</v>
      </c>
      <c r="K57" s="90" t="s">
        <v>158</v>
      </c>
    </row>
    <row r="58" spans="1:11" ht="12.75">
      <c r="A58" s="85">
        <v>2.6</v>
      </c>
      <c r="B58" s="85">
        <v>45</v>
      </c>
      <c r="C58" s="85">
        <f>58.9-20.3</f>
        <v>38.599999999999994</v>
      </c>
      <c r="D58" s="85">
        <v>58</v>
      </c>
      <c r="E58" s="85">
        <f>135/2-40.5-5-3.5/2</f>
        <v>20.25</v>
      </c>
      <c r="F58" s="6" t="s">
        <v>1574</v>
      </c>
      <c r="G58" s="6" t="s">
        <v>1577</v>
      </c>
      <c r="H58" s="6">
        <v>135</v>
      </c>
      <c r="I58" s="7" t="s">
        <v>292</v>
      </c>
      <c r="J58" s="135">
        <v>37358</v>
      </c>
      <c r="K58" s="90" t="s">
        <v>158</v>
      </c>
    </row>
    <row r="59" spans="1:11" ht="12.75">
      <c r="A59" s="85">
        <v>2.5</v>
      </c>
      <c r="B59" s="85">
        <v>45</v>
      </c>
      <c r="C59" s="85">
        <v>34.25</v>
      </c>
      <c r="D59" s="85">
        <v>45</v>
      </c>
      <c r="E59" s="85">
        <v>19.75</v>
      </c>
      <c r="F59" s="19" t="s">
        <v>1574</v>
      </c>
      <c r="G59" s="19" t="s">
        <v>1577</v>
      </c>
      <c r="H59" s="19">
        <v>135</v>
      </c>
      <c r="I59" s="51" t="s">
        <v>1334</v>
      </c>
      <c r="J59" s="135">
        <v>37327</v>
      </c>
      <c r="K59" s="90" t="s">
        <v>158</v>
      </c>
    </row>
    <row r="60" spans="1:10" ht="12.75">
      <c r="A60" s="85">
        <v>2.5</v>
      </c>
      <c r="B60" s="85">
        <v>40</v>
      </c>
      <c r="C60" s="85">
        <v>37.6</v>
      </c>
      <c r="D60" s="85">
        <v>40</v>
      </c>
      <c r="E60" s="85">
        <v>37.6</v>
      </c>
      <c r="F60" s="19" t="s">
        <v>1387</v>
      </c>
      <c r="G60" s="19"/>
      <c r="H60" s="19">
        <v>100</v>
      </c>
      <c r="I60" s="51" t="s">
        <v>1603</v>
      </c>
      <c r="J60" s="17"/>
    </row>
    <row r="61" spans="1:11" ht="12.75">
      <c r="A61" s="85">
        <v>2.5</v>
      </c>
      <c r="B61" s="85">
        <v>44</v>
      </c>
      <c r="C61" s="85">
        <f>135/2-31.5</f>
        <v>36</v>
      </c>
      <c r="D61" s="85">
        <v>53</v>
      </c>
      <c r="E61" s="85">
        <f>135/2-46.3</f>
        <v>21.200000000000003</v>
      </c>
      <c r="F61" s="19" t="s">
        <v>1574</v>
      </c>
      <c r="G61" s="19" t="s">
        <v>1577</v>
      </c>
      <c r="H61" s="19">
        <v>135</v>
      </c>
      <c r="I61" s="51" t="s">
        <v>1603</v>
      </c>
      <c r="J61" s="135">
        <v>37265</v>
      </c>
      <c r="K61" s="90" t="s">
        <v>158</v>
      </c>
    </row>
    <row r="62" spans="1:11" ht="12.75">
      <c r="A62" s="85">
        <v>2.5</v>
      </c>
      <c r="B62" s="85">
        <v>47</v>
      </c>
      <c r="C62" s="85">
        <v>23</v>
      </c>
      <c r="D62" s="85">
        <v>40</v>
      </c>
      <c r="E62" s="85">
        <v>34.2</v>
      </c>
      <c r="F62" s="19" t="s">
        <v>1387</v>
      </c>
      <c r="G62" s="19"/>
      <c r="H62" s="19">
        <v>100</v>
      </c>
      <c r="I62" s="51" t="s">
        <v>794</v>
      </c>
      <c r="J62" s="135">
        <v>37764</v>
      </c>
      <c r="K62" s="90" t="s">
        <v>158</v>
      </c>
    </row>
    <row r="63" spans="1:11" ht="12.75">
      <c r="A63" s="85">
        <v>2.5</v>
      </c>
      <c r="B63" s="85">
        <v>47</v>
      </c>
      <c r="C63" s="85">
        <v>33</v>
      </c>
      <c r="D63" s="85">
        <v>47</v>
      </c>
      <c r="E63" s="85">
        <v>21.25</v>
      </c>
      <c r="F63" s="19" t="s">
        <v>1574</v>
      </c>
      <c r="G63" s="19" t="s">
        <v>1577</v>
      </c>
      <c r="H63" s="19">
        <v>135</v>
      </c>
      <c r="I63" s="51" t="s">
        <v>794</v>
      </c>
      <c r="J63" s="135">
        <v>37764</v>
      </c>
      <c r="K63" s="90" t="s">
        <v>158</v>
      </c>
    </row>
    <row r="64" spans="1:11" ht="12.75">
      <c r="A64" s="85">
        <f>1.35*2</f>
        <v>2.7</v>
      </c>
      <c r="B64" s="85">
        <v>77.8</v>
      </c>
      <c r="C64" s="85">
        <f>130/2-32.5</f>
        <v>32.5</v>
      </c>
      <c r="D64" s="85">
        <v>63</v>
      </c>
      <c r="E64" s="85">
        <f>130/2-48</f>
        <v>17</v>
      </c>
      <c r="F64" s="19" t="s">
        <v>1574</v>
      </c>
      <c r="G64" s="19" t="s">
        <v>1577</v>
      </c>
      <c r="H64" s="19">
        <v>130</v>
      </c>
      <c r="I64" s="51" t="s">
        <v>486</v>
      </c>
      <c r="J64" s="135">
        <v>37404</v>
      </c>
      <c r="K64" s="90" t="s">
        <v>158</v>
      </c>
    </row>
    <row r="65" spans="1:11" ht="12.75">
      <c r="A65" s="85">
        <f>0.1*25.4</f>
        <v>2.54</v>
      </c>
      <c r="B65" s="85">
        <v>78</v>
      </c>
      <c r="C65" s="85">
        <f>130/2-32</f>
        <v>33</v>
      </c>
      <c r="D65" s="85">
        <v>66</v>
      </c>
      <c r="E65" s="85">
        <f>130/2-45</f>
        <v>20</v>
      </c>
      <c r="F65" s="19" t="s">
        <v>1574</v>
      </c>
      <c r="G65" s="19" t="s">
        <v>1577</v>
      </c>
      <c r="H65" s="19">
        <v>130</v>
      </c>
      <c r="I65" s="51" t="s">
        <v>494</v>
      </c>
      <c r="J65" s="135">
        <v>37499</v>
      </c>
      <c r="K65" s="90" t="s">
        <v>158</v>
      </c>
    </row>
    <row r="66" spans="1:11" ht="12.75">
      <c r="A66" s="85">
        <v>2.5</v>
      </c>
      <c r="B66" s="85">
        <v>78</v>
      </c>
      <c r="C66" s="85">
        <f>130/2-33</f>
        <v>32</v>
      </c>
      <c r="D66" s="85">
        <v>66</v>
      </c>
      <c r="E66" s="85">
        <f>130/2-47.5</f>
        <v>17.5</v>
      </c>
      <c r="F66" s="19" t="s">
        <v>1574</v>
      </c>
      <c r="G66" s="19" t="s">
        <v>1577</v>
      </c>
      <c r="H66" s="19">
        <v>130</v>
      </c>
      <c r="I66" s="51" t="s">
        <v>493</v>
      </c>
      <c r="J66" s="135">
        <v>37499</v>
      </c>
      <c r="K66" s="90" t="s">
        <v>158</v>
      </c>
    </row>
    <row r="67" spans="1:11" ht="12.75">
      <c r="A67" s="85">
        <v>2.5</v>
      </c>
      <c r="B67" s="85">
        <f>31.8-2.5</f>
        <v>29.3</v>
      </c>
      <c r="C67" s="85">
        <v>34.9</v>
      </c>
      <c r="D67" s="85">
        <v>47</v>
      </c>
      <c r="E67" s="85">
        <v>17.25</v>
      </c>
      <c r="F67" s="19" t="s">
        <v>1574</v>
      </c>
      <c r="G67" s="19" t="s">
        <v>1577</v>
      </c>
      <c r="H67" s="19">
        <v>130</v>
      </c>
      <c r="I67" s="51" t="s">
        <v>1012</v>
      </c>
      <c r="J67" s="135">
        <v>37676</v>
      </c>
      <c r="K67" s="90" t="s">
        <v>158</v>
      </c>
    </row>
    <row r="68" spans="1:11" ht="12.75">
      <c r="A68" s="85">
        <v>2.5</v>
      </c>
      <c r="B68" s="85">
        <v>47</v>
      </c>
      <c r="C68" s="85">
        <f>31.3-3.5/2</f>
        <v>29.55</v>
      </c>
      <c r="D68" s="85">
        <v>47</v>
      </c>
      <c r="E68" s="85">
        <f>19.3-3.5/2</f>
        <v>17.55</v>
      </c>
      <c r="F68" s="19" t="s">
        <v>1574</v>
      </c>
      <c r="G68" s="19"/>
      <c r="H68" s="19">
        <v>130</v>
      </c>
      <c r="I68" s="51" t="s">
        <v>796</v>
      </c>
      <c r="J68" s="135">
        <v>37616</v>
      </c>
      <c r="K68" s="90" t="s">
        <v>158</v>
      </c>
    </row>
    <row r="69" spans="1:11" ht="12.75">
      <c r="A69" s="85">
        <v>2.5</v>
      </c>
      <c r="B69" s="85">
        <v>38</v>
      </c>
      <c r="C69" s="85">
        <v>33.45</v>
      </c>
      <c r="D69" s="85">
        <v>38</v>
      </c>
      <c r="E69" s="85">
        <v>33.45</v>
      </c>
      <c r="F69" s="19" t="s">
        <v>1387</v>
      </c>
      <c r="G69" s="19"/>
      <c r="H69" s="19">
        <v>100</v>
      </c>
      <c r="I69" s="51" t="s">
        <v>485</v>
      </c>
      <c r="J69" s="135">
        <v>37294</v>
      </c>
      <c r="K69" s="90" t="s">
        <v>158</v>
      </c>
    </row>
    <row r="70" spans="1:11" ht="12.75">
      <c r="A70" s="85">
        <v>2.5</v>
      </c>
      <c r="B70" s="85">
        <v>47</v>
      </c>
      <c r="C70" s="85">
        <f>31.7-3.5/2</f>
        <v>29.95</v>
      </c>
      <c r="D70" s="85">
        <v>47</v>
      </c>
      <c r="E70" s="85">
        <f>19.8-3.5/2</f>
        <v>18.05</v>
      </c>
      <c r="F70" s="19" t="s">
        <v>1574</v>
      </c>
      <c r="G70" s="19"/>
      <c r="H70" s="19">
        <v>130</v>
      </c>
      <c r="I70" s="51" t="s">
        <v>797</v>
      </c>
      <c r="J70" s="135">
        <v>37616</v>
      </c>
      <c r="K70" s="90" t="s">
        <v>158</v>
      </c>
    </row>
    <row r="71" spans="1:11" ht="12.75">
      <c r="A71" s="85">
        <v>2.5</v>
      </c>
      <c r="B71" s="85">
        <v>47</v>
      </c>
      <c r="C71" s="85">
        <v>30</v>
      </c>
      <c r="D71" s="85">
        <v>47</v>
      </c>
      <c r="E71" s="85">
        <v>17</v>
      </c>
      <c r="F71" s="19" t="s">
        <v>1574</v>
      </c>
      <c r="G71" s="19" t="s">
        <v>1577</v>
      </c>
      <c r="H71" s="19">
        <v>130</v>
      </c>
      <c r="I71" s="51" t="s">
        <v>1600</v>
      </c>
      <c r="J71" s="135">
        <v>37498</v>
      </c>
      <c r="K71" s="90" t="s">
        <v>158</v>
      </c>
    </row>
    <row r="72" spans="1:11" ht="12.75">
      <c r="A72" s="85">
        <v>2.5</v>
      </c>
      <c r="B72" s="85">
        <v>38</v>
      </c>
      <c r="C72" s="85">
        <f>68.1/2</f>
        <v>34.05</v>
      </c>
      <c r="D72" s="85">
        <v>38</v>
      </c>
      <c r="E72" s="85">
        <f>68.1/2</f>
        <v>34.05</v>
      </c>
      <c r="F72" s="19" t="s">
        <v>1387</v>
      </c>
      <c r="G72" s="19"/>
      <c r="H72" s="19">
        <v>100</v>
      </c>
      <c r="I72" s="51" t="s">
        <v>649</v>
      </c>
      <c r="J72" s="135">
        <v>37517</v>
      </c>
      <c r="K72" s="90" t="s">
        <v>158</v>
      </c>
    </row>
    <row r="73" spans="1:11" ht="12.75">
      <c r="A73" s="85">
        <v>2.5</v>
      </c>
      <c r="B73" s="85">
        <v>38</v>
      </c>
      <c r="C73" s="85">
        <v>34.2</v>
      </c>
      <c r="D73" s="85">
        <v>38</v>
      </c>
      <c r="E73" s="85">
        <v>34.2</v>
      </c>
      <c r="F73" s="19" t="s">
        <v>1387</v>
      </c>
      <c r="G73" s="19"/>
      <c r="H73" s="19">
        <v>100</v>
      </c>
      <c r="I73" s="51" t="s">
        <v>324</v>
      </c>
      <c r="J73" s="135">
        <v>37305</v>
      </c>
      <c r="K73" s="90" t="s">
        <v>154</v>
      </c>
    </row>
    <row r="74" spans="1:11" ht="12.75">
      <c r="A74" s="85">
        <v>2.5</v>
      </c>
      <c r="B74" s="85">
        <v>47</v>
      </c>
      <c r="C74" s="85">
        <f>32.15+1</f>
        <v>33.15</v>
      </c>
      <c r="D74" s="85">
        <v>47</v>
      </c>
      <c r="E74" s="85">
        <f>18.3+1</f>
        <v>19.3</v>
      </c>
      <c r="F74" s="19" t="s">
        <v>1574</v>
      </c>
      <c r="G74" s="19" t="s">
        <v>1577</v>
      </c>
      <c r="H74" s="19">
        <v>130</v>
      </c>
      <c r="I74" s="51" t="s">
        <v>325</v>
      </c>
      <c r="J74" s="135">
        <v>37281</v>
      </c>
      <c r="K74" s="90" t="s">
        <v>158</v>
      </c>
    </row>
    <row r="75" spans="1:11" ht="12.75">
      <c r="A75" s="85">
        <v>2.5</v>
      </c>
      <c r="B75" s="85">
        <v>47</v>
      </c>
      <c r="C75" s="85">
        <v>30.75</v>
      </c>
      <c r="D75" s="85">
        <v>47</v>
      </c>
      <c r="E75" s="85">
        <v>17.25</v>
      </c>
      <c r="F75" s="19" t="s">
        <v>1574</v>
      </c>
      <c r="G75" s="19" t="s">
        <v>1577</v>
      </c>
      <c r="H75" s="19">
        <v>130</v>
      </c>
      <c r="I75" s="51" t="s">
        <v>326</v>
      </c>
      <c r="J75" s="135">
        <v>37314</v>
      </c>
      <c r="K75" s="90" t="s">
        <v>158</v>
      </c>
    </row>
    <row r="76" spans="1:11" ht="12.75">
      <c r="A76" s="85">
        <v>2.7</v>
      </c>
      <c r="B76" s="85">
        <v>60</v>
      </c>
      <c r="C76" s="85">
        <f>31.35-3.5/2</f>
        <v>29.6</v>
      </c>
      <c r="D76" s="85">
        <v>60</v>
      </c>
      <c r="E76" s="85">
        <f>26.35-3.5/2</f>
        <v>24.6</v>
      </c>
      <c r="F76" s="19" t="s">
        <v>1574</v>
      </c>
      <c r="G76" s="19" t="s">
        <v>1577</v>
      </c>
      <c r="H76" s="19">
        <v>145</v>
      </c>
      <c r="I76" s="51" t="s">
        <v>639</v>
      </c>
      <c r="J76" s="135">
        <v>37593</v>
      </c>
      <c r="K76" s="90" t="s">
        <v>158</v>
      </c>
    </row>
    <row r="77" spans="1:11" ht="12.75">
      <c r="A77" s="85">
        <v>2.7</v>
      </c>
      <c r="B77" s="85">
        <v>60</v>
      </c>
      <c r="C77" s="85">
        <v>35.45</v>
      </c>
      <c r="D77" s="85">
        <v>60</v>
      </c>
      <c r="E77" s="85">
        <v>35.45</v>
      </c>
      <c r="F77" s="19" t="s">
        <v>1387</v>
      </c>
      <c r="G77" s="19"/>
      <c r="H77" s="19">
        <v>100</v>
      </c>
      <c r="I77" s="51" t="s">
        <v>712</v>
      </c>
      <c r="J77" s="135">
        <v>37311</v>
      </c>
      <c r="K77" s="90" t="s">
        <v>158</v>
      </c>
    </row>
    <row r="78" spans="1:11" ht="12.75">
      <c r="A78" s="85">
        <v>2.5</v>
      </c>
      <c r="B78" s="85">
        <v>38</v>
      </c>
      <c r="C78" s="85">
        <v>32.3</v>
      </c>
      <c r="D78" s="85">
        <v>38</v>
      </c>
      <c r="E78" s="85">
        <v>32.3</v>
      </c>
      <c r="F78" s="19" t="s">
        <v>1387</v>
      </c>
      <c r="G78" s="19"/>
      <c r="H78" s="19">
        <v>100</v>
      </c>
      <c r="I78" s="51" t="s">
        <v>484</v>
      </c>
      <c r="J78" s="135">
        <v>37324</v>
      </c>
      <c r="K78" s="90" t="s">
        <v>158</v>
      </c>
    </row>
    <row r="79" spans="1:11" ht="12.75">
      <c r="A79" s="85">
        <v>2.5</v>
      </c>
      <c r="B79" s="85">
        <v>38</v>
      </c>
      <c r="C79" s="85">
        <v>34.05</v>
      </c>
      <c r="D79" s="85">
        <v>38</v>
      </c>
      <c r="E79" s="85">
        <v>34.05</v>
      </c>
      <c r="F79" s="19" t="s">
        <v>1387</v>
      </c>
      <c r="G79" s="19"/>
      <c r="H79" s="19">
        <v>100</v>
      </c>
      <c r="I79" s="51" t="s">
        <v>407</v>
      </c>
      <c r="J79" s="135">
        <v>37410</v>
      </c>
      <c r="K79" s="90" t="s">
        <v>586</v>
      </c>
    </row>
    <row r="80" spans="1:11" ht="12.75">
      <c r="A80" s="85">
        <f>1.35*2</f>
        <v>2.7</v>
      </c>
      <c r="B80" s="85">
        <v>77.8</v>
      </c>
      <c r="C80" s="85">
        <v>30.02</v>
      </c>
      <c r="D80" s="85">
        <f>38.9*2</f>
        <v>77.8</v>
      </c>
      <c r="E80" s="85">
        <v>17.64</v>
      </c>
      <c r="F80" s="19" t="s">
        <v>1574</v>
      </c>
      <c r="G80" s="19" t="s">
        <v>1577</v>
      </c>
      <c r="H80" s="19">
        <v>130</v>
      </c>
      <c r="I80" s="51" t="s">
        <v>495</v>
      </c>
      <c r="J80" s="135">
        <v>37404</v>
      </c>
      <c r="K80" s="90" t="s">
        <v>158</v>
      </c>
    </row>
    <row r="81" spans="1:11" ht="12.75">
      <c r="A81" s="85">
        <v>2.5</v>
      </c>
      <c r="B81" s="85">
        <v>47</v>
      </c>
      <c r="C81" s="85">
        <f>31.8-3.5/2</f>
        <v>30.05</v>
      </c>
      <c r="D81" s="85">
        <v>47</v>
      </c>
      <c r="E81" s="85">
        <f>19.8-3.5/2</f>
        <v>18.05</v>
      </c>
      <c r="F81" s="19" t="s">
        <v>1574</v>
      </c>
      <c r="G81" s="19" t="s">
        <v>1577</v>
      </c>
      <c r="H81" s="19">
        <v>130</v>
      </c>
      <c r="I81" s="51" t="s">
        <v>418</v>
      </c>
      <c r="J81" s="135">
        <v>37782</v>
      </c>
      <c r="K81" s="90" t="s">
        <v>158</v>
      </c>
    </row>
    <row r="82" spans="1:11" ht="12.75">
      <c r="A82" s="85">
        <v>2.5</v>
      </c>
      <c r="B82" s="85">
        <v>38</v>
      </c>
      <c r="C82" s="85">
        <f>(100/2)-13.4-(3.5/2)</f>
        <v>34.85</v>
      </c>
      <c r="D82" s="85">
        <v>38</v>
      </c>
      <c r="E82" s="85">
        <f>C82</f>
        <v>34.85</v>
      </c>
      <c r="F82" s="19" t="s">
        <v>1387</v>
      </c>
      <c r="G82" s="19" t="s">
        <v>1577</v>
      </c>
      <c r="H82" s="19">
        <v>100</v>
      </c>
      <c r="I82" s="51" t="s">
        <v>1566</v>
      </c>
      <c r="J82" s="135">
        <v>37777</v>
      </c>
      <c r="K82" s="90" t="s">
        <v>586</v>
      </c>
    </row>
    <row r="83" spans="1:11" ht="12.75">
      <c r="A83" s="85">
        <v>2.5</v>
      </c>
      <c r="B83" s="85">
        <v>47</v>
      </c>
      <c r="C83" s="85">
        <f>32.7+1</f>
        <v>33.7</v>
      </c>
      <c r="D83" s="85">
        <v>47</v>
      </c>
      <c r="E83" s="85">
        <f>18.8+1</f>
        <v>19.8</v>
      </c>
      <c r="F83" s="19" t="s">
        <v>1574</v>
      </c>
      <c r="G83" s="19" t="s">
        <v>1577</v>
      </c>
      <c r="H83" s="19">
        <v>130</v>
      </c>
      <c r="I83" s="51" t="s">
        <v>327</v>
      </c>
      <c r="J83" s="135">
        <v>37593</v>
      </c>
      <c r="K83" s="90" t="s">
        <v>158</v>
      </c>
    </row>
    <row r="84" spans="1:11" ht="12.75">
      <c r="A84" s="85">
        <v>2.5</v>
      </c>
      <c r="B84" s="85">
        <f>35.8-2.5</f>
        <v>33.3</v>
      </c>
      <c r="C84" s="85">
        <f>84.1/2+1</f>
        <v>43.05</v>
      </c>
      <c r="D84" s="85">
        <f>35.8-2.5</f>
        <v>33.3</v>
      </c>
      <c r="E84" s="85">
        <f>84.1/2+1</f>
        <v>43.05</v>
      </c>
      <c r="F84" s="19" t="s">
        <v>1387</v>
      </c>
      <c r="G84" s="19"/>
      <c r="H84" s="19">
        <v>100</v>
      </c>
      <c r="I84" s="51" t="s">
        <v>1519</v>
      </c>
      <c r="J84" s="135">
        <v>37396</v>
      </c>
      <c r="K84" s="90" t="s">
        <v>158</v>
      </c>
    </row>
    <row r="85" spans="1:11" ht="12.75">
      <c r="A85" s="85">
        <v>0</v>
      </c>
      <c r="B85" s="85">
        <v>39</v>
      </c>
      <c r="C85" s="85">
        <v>37.5</v>
      </c>
      <c r="D85" s="85">
        <v>39</v>
      </c>
      <c r="E85" s="85">
        <v>37.5</v>
      </c>
      <c r="F85" s="19" t="s">
        <v>1387</v>
      </c>
      <c r="G85" s="19"/>
      <c r="H85" s="19">
        <v>100</v>
      </c>
      <c r="I85" s="51" t="s">
        <v>558</v>
      </c>
      <c r="J85" s="135">
        <v>37932</v>
      </c>
      <c r="K85" s="90" t="s">
        <v>154</v>
      </c>
    </row>
    <row r="86" spans="1:11" ht="12.75">
      <c r="A86" s="85">
        <v>2.5</v>
      </c>
      <c r="B86" s="86">
        <v>30.56</v>
      </c>
      <c r="C86" s="85">
        <v>36.5</v>
      </c>
      <c r="D86" s="85">
        <v>47</v>
      </c>
      <c r="E86" s="85">
        <f>19.8-(3.55/2)</f>
        <v>18.025000000000002</v>
      </c>
      <c r="F86" s="19" t="s">
        <v>1574</v>
      </c>
      <c r="G86" s="19" t="s">
        <v>564</v>
      </c>
      <c r="H86" s="19">
        <v>130</v>
      </c>
      <c r="I86" s="51" t="s">
        <v>396</v>
      </c>
      <c r="J86" s="135">
        <v>38051</v>
      </c>
      <c r="K86" s="90" t="s">
        <v>154</v>
      </c>
    </row>
    <row r="87" spans="1:11" ht="12.75">
      <c r="A87" s="85">
        <v>2.5</v>
      </c>
      <c r="B87" s="85">
        <f>31.8-2.5</f>
        <v>29.3</v>
      </c>
      <c r="C87" s="85">
        <v>34.9</v>
      </c>
      <c r="D87" s="85">
        <v>47</v>
      </c>
      <c r="E87" s="85">
        <v>17.25</v>
      </c>
      <c r="F87" s="19" t="s">
        <v>1574</v>
      </c>
      <c r="G87" s="19" t="s">
        <v>1577</v>
      </c>
      <c r="H87" s="19">
        <v>130</v>
      </c>
      <c r="I87" s="51" t="s">
        <v>250</v>
      </c>
      <c r="J87" s="135">
        <v>37676</v>
      </c>
      <c r="K87" s="90" t="s">
        <v>158</v>
      </c>
    </row>
    <row r="88" spans="1:11" ht="12.75">
      <c r="A88" s="85">
        <v>2.5</v>
      </c>
      <c r="B88" s="85">
        <v>47</v>
      </c>
      <c r="C88" s="85">
        <v>30.25</v>
      </c>
      <c r="D88" s="85">
        <v>47</v>
      </c>
      <c r="E88" s="85">
        <v>17.75</v>
      </c>
      <c r="F88" s="19" t="s">
        <v>1574</v>
      </c>
      <c r="G88" s="19" t="s">
        <v>1577</v>
      </c>
      <c r="H88" s="19">
        <v>130</v>
      </c>
      <c r="I88" s="51" t="s">
        <v>1034</v>
      </c>
      <c r="J88" s="135">
        <v>37809</v>
      </c>
      <c r="K88" s="90" t="s">
        <v>158</v>
      </c>
    </row>
    <row r="89" spans="1:11" ht="12.75">
      <c r="A89" s="85">
        <v>2.5</v>
      </c>
      <c r="B89" s="85">
        <v>47</v>
      </c>
      <c r="C89" s="85">
        <f>30.25-(145-130)/2</f>
        <v>22.75</v>
      </c>
      <c r="D89" s="85">
        <v>47</v>
      </c>
      <c r="E89" s="85">
        <f>17.75+(145-130)/2</f>
        <v>25.25</v>
      </c>
      <c r="F89" s="19" t="s">
        <v>1574</v>
      </c>
      <c r="G89" s="19" t="s">
        <v>1577</v>
      </c>
      <c r="H89" s="19">
        <v>145</v>
      </c>
      <c r="I89" s="51" t="s">
        <v>1035</v>
      </c>
      <c r="J89" s="135">
        <v>37809</v>
      </c>
      <c r="K89" s="90" t="s">
        <v>158</v>
      </c>
    </row>
    <row r="90" spans="1:11" ht="12.75">
      <c r="A90" s="85">
        <v>0</v>
      </c>
      <c r="B90" s="85">
        <v>28.8</v>
      </c>
      <c r="C90" s="85">
        <v>39.7</v>
      </c>
      <c r="D90" s="85">
        <v>28.8</v>
      </c>
      <c r="E90" s="85">
        <v>39.7</v>
      </c>
      <c r="F90" s="19" t="s">
        <v>1387</v>
      </c>
      <c r="G90" s="19"/>
      <c r="H90" s="19">
        <v>100</v>
      </c>
      <c r="I90" s="51" t="s">
        <v>1011</v>
      </c>
      <c r="J90" s="135">
        <v>37676</v>
      </c>
      <c r="K90" s="90" t="s">
        <v>158</v>
      </c>
    </row>
    <row r="91" spans="1:11" ht="12.75">
      <c r="A91" s="85">
        <v>2.5</v>
      </c>
      <c r="B91" s="85">
        <v>29.1</v>
      </c>
      <c r="C91" s="86">
        <v>38.07</v>
      </c>
      <c r="D91" s="85">
        <f>B91</f>
        <v>29.1</v>
      </c>
      <c r="E91" s="86">
        <f>C91</f>
        <v>38.07</v>
      </c>
      <c r="F91" s="19" t="s">
        <v>1387</v>
      </c>
      <c r="G91" s="19"/>
      <c r="H91" s="19">
        <v>100</v>
      </c>
      <c r="I91" s="51" t="s">
        <v>397</v>
      </c>
      <c r="J91" s="135">
        <v>38051</v>
      </c>
      <c r="K91" s="90" t="s">
        <v>154</v>
      </c>
    </row>
    <row r="92" spans="1:11" ht="12.75">
      <c r="A92" s="85">
        <v>2.5</v>
      </c>
      <c r="B92" s="85">
        <v>47</v>
      </c>
      <c r="C92" s="85">
        <v>33.7</v>
      </c>
      <c r="D92" s="85">
        <v>47</v>
      </c>
      <c r="E92" s="85">
        <v>19.5</v>
      </c>
      <c r="F92" s="19" t="s">
        <v>1574</v>
      </c>
      <c r="G92" s="19" t="s">
        <v>1577</v>
      </c>
      <c r="H92" s="19">
        <v>130</v>
      </c>
      <c r="I92" s="51" t="s">
        <v>972</v>
      </c>
      <c r="J92" s="135">
        <v>37782</v>
      </c>
      <c r="K92" s="90" t="s">
        <v>158</v>
      </c>
    </row>
    <row r="93" spans="1:11" ht="12.75">
      <c r="A93" s="85">
        <v>2.5</v>
      </c>
      <c r="B93" s="85">
        <v>38</v>
      </c>
      <c r="C93" s="85">
        <v>34.05</v>
      </c>
      <c r="D93" s="85">
        <v>38</v>
      </c>
      <c r="E93" s="85">
        <v>34.05</v>
      </c>
      <c r="F93" s="19" t="s">
        <v>1387</v>
      </c>
      <c r="G93" s="19"/>
      <c r="H93" s="19">
        <v>100</v>
      </c>
      <c r="I93" s="51" t="s">
        <v>1033</v>
      </c>
      <c r="J93" s="135">
        <v>37809</v>
      </c>
      <c r="K93" s="90" t="s">
        <v>158</v>
      </c>
    </row>
    <row r="94" spans="1:11" ht="12.75">
      <c r="A94" s="85">
        <v>0</v>
      </c>
      <c r="B94" s="85">
        <v>29.1</v>
      </c>
      <c r="C94" s="85">
        <v>38.3</v>
      </c>
      <c r="D94" s="85">
        <v>29.1</v>
      </c>
      <c r="E94" s="85">
        <v>38.3</v>
      </c>
      <c r="F94" s="19" t="s">
        <v>1387</v>
      </c>
      <c r="G94" s="19" t="s">
        <v>564</v>
      </c>
      <c r="H94" s="19">
        <v>100</v>
      </c>
      <c r="I94" s="51" t="s">
        <v>1448</v>
      </c>
      <c r="J94" s="135">
        <v>37761</v>
      </c>
      <c r="K94" s="90" t="s">
        <v>586</v>
      </c>
    </row>
    <row r="95" spans="1:11" ht="12.75">
      <c r="A95" s="85">
        <v>2.5</v>
      </c>
      <c r="B95" s="85">
        <v>30.6</v>
      </c>
      <c r="C95" s="85">
        <v>37</v>
      </c>
      <c r="D95" s="85">
        <v>47</v>
      </c>
      <c r="E95" s="86">
        <v>16.75</v>
      </c>
      <c r="F95" s="19" t="s">
        <v>1574</v>
      </c>
      <c r="G95" s="19" t="s">
        <v>564</v>
      </c>
      <c r="H95" s="19">
        <v>130</v>
      </c>
      <c r="I95" s="51" t="s">
        <v>1450</v>
      </c>
      <c r="J95" s="135">
        <v>37761</v>
      </c>
      <c r="K95" s="90" t="s">
        <v>586</v>
      </c>
    </row>
    <row r="96" spans="1:11" ht="12.75">
      <c r="A96" s="85">
        <v>0</v>
      </c>
      <c r="B96" s="85">
        <v>30.6</v>
      </c>
      <c r="C96" s="85">
        <v>37</v>
      </c>
      <c r="D96" s="85">
        <v>47</v>
      </c>
      <c r="E96" s="86">
        <v>16.75</v>
      </c>
      <c r="F96" s="19" t="s">
        <v>1387</v>
      </c>
      <c r="G96" s="19" t="s">
        <v>564</v>
      </c>
      <c r="H96" s="19">
        <v>100</v>
      </c>
      <c r="I96" s="51" t="s">
        <v>1449</v>
      </c>
      <c r="J96" s="135">
        <v>37761</v>
      </c>
      <c r="K96" s="90" t="s">
        <v>586</v>
      </c>
    </row>
    <row r="97" spans="1:11" ht="12.75">
      <c r="A97" s="85">
        <v>2.6</v>
      </c>
      <c r="B97" s="85">
        <v>47</v>
      </c>
      <c r="C97" s="85">
        <v>30.8</v>
      </c>
      <c r="D97" s="85">
        <v>47</v>
      </c>
      <c r="E97" s="86">
        <v>26.8</v>
      </c>
      <c r="F97" s="19" t="s">
        <v>1574</v>
      </c>
      <c r="G97" s="19" t="s">
        <v>564</v>
      </c>
      <c r="H97" s="19">
        <v>145</v>
      </c>
      <c r="I97" s="51" t="s">
        <v>6</v>
      </c>
      <c r="J97" s="135">
        <v>38403</v>
      </c>
      <c r="K97" s="90" t="s">
        <v>158</v>
      </c>
    </row>
    <row r="98" spans="1:11" ht="12.75">
      <c r="A98" s="85">
        <v>0</v>
      </c>
      <c r="B98" s="85">
        <v>28.2</v>
      </c>
      <c r="C98" s="85">
        <v>38.1</v>
      </c>
      <c r="D98" s="85">
        <v>28.2</v>
      </c>
      <c r="E98" s="85">
        <v>38.1</v>
      </c>
      <c r="F98" s="19" t="s">
        <v>1387</v>
      </c>
      <c r="G98" s="19"/>
      <c r="H98" s="19">
        <v>100</v>
      </c>
      <c r="I98" s="51" t="s">
        <v>1341</v>
      </c>
      <c r="J98" s="135">
        <v>37728</v>
      </c>
      <c r="K98" s="90" t="s">
        <v>586</v>
      </c>
    </row>
    <row r="99" spans="1:11" ht="12.75">
      <c r="A99" s="85">
        <v>2.5</v>
      </c>
      <c r="B99" s="85">
        <v>30.9</v>
      </c>
      <c r="C99" s="85">
        <v>33.8</v>
      </c>
      <c r="D99" s="85">
        <v>47</v>
      </c>
      <c r="E99" s="85">
        <v>18</v>
      </c>
      <c r="F99" s="19" t="s">
        <v>1574</v>
      </c>
      <c r="G99" s="19" t="s">
        <v>564</v>
      </c>
      <c r="H99" s="19">
        <v>130</v>
      </c>
      <c r="I99" s="51" t="s">
        <v>1341</v>
      </c>
      <c r="J99" s="135">
        <v>37728</v>
      </c>
      <c r="K99" s="90" t="s">
        <v>586</v>
      </c>
    </row>
    <row r="100" spans="1:11" ht="12.75">
      <c r="A100" s="85">
        <v>2.5</v>
      </c>
      <c r="B100" s="85">
        <v>47</v>
      </c>
      <c r="C100" s="85">
        <v>33.3</v>
      </c>
      <c r="D100" s="85">
        <v>47</v>
      </c>
      <c r="E100" s="85">
        <v>33.3</v>
      </c>
      <c r="F100" s="19" t="s">
        <v>1574</v>
      </c>
      <c r="G100" s="19">
        <v>1</v>
      </c>
      <c r="H100" s="19">
        <v>120</v>
      </c>
      <c r="I100" s="51" t="s">
        <v>1088</v>
      </c>
      <c r="J100" s="135">
        <v>37826</v>
      </c>
      <c r="K100" s="90" t="s">
        <v>158</v>
      </c>
    </row>
    <row r="101" spans="1:11" ht="12.75">
      <c r="A101" s="85">
        <v>2.5</v>
      </c>
      <c r="B101" s="85">
        <v>38</v>
      </c>
      <c r="C101" s="85">
        <v>34.05</v>
      </c>
      <c r="D101" s="85">
        <v>38</v>
      </c>
      <c r="E101" s="85">
        <v>34.05</v>
      </c>
      <c r="F101" s="19" t="s">
        <v>1387</v>
      </c>
      <c r="G101" s="19"/>
      <c r="H101" s="19">
        <v>100</v>
      </c>
      <c r="I101" s="51" t="s">
        <v>1087</v>
      </c>
      <c r="J101" s="135">
        <v>37826</v>
      </c>
      <c r="K101" s="90" t="s">
        <v>158</v>
      </c>
    </row>
    <row r="102" spans="1:11" ht="12.75">
      <c r="A102" s="85">
        <v>2.4</v>
      </c>
      <c r="B102" s="85">
        <v>57.5</v>
      </c>
      <c r="C102" s="85">
        <v>25</v>
      </c>
      <c r="D102" s="85">
        <v>57.5</v>
      </c>
      <c r="E102" s="85">
        <v>21.5</v>
      </c>
      <c r="F102" s="19" t="s">
        <v>1574</v>
      </c>
      <c r="G102" s="19"/>
      <c r="H102" s="19">
        <v>135</v>
      </c>
      <c r="I102" s="51" t="s">
        <v>1314</v>
      </c>
      <c r="J102" s="135">
        <v>39053</v>
      </c>
      <c r="K102" s="90" t="s">
        <v>1315</v>
      </c>
    </row>
    <row r="103" spans="1:10" ht="12.75">
      <c r="A103" s="85">
        <v>2.4</v>
      </c>
      <c r="B103" s="85">
        <v>42.5</v>
      </c>
      <c r="C103" s="85">
        <v>36.5</v>
      </c>
      <c r="D103" s="85">
        <v>42.5</v>
      </c>
      <c r="E103" s="85">
        <v>36.5</v>
      </c>
      <c r="F103" s="6" t="s">
        <v>1387</v>
      </c>
      <c r="G103" s="6"/>
      <c r="H103" s="6">
        <v>100</v>
      </c>
      <c r="I103" s="3" t="s">
        <v>1389</v>
      </c>
      <c r="J103" s="17"/>
    </row>
    <row r="104" spans="1:10" ht="12.75">
      <c r="A104" s="85">
        <v>2.4</v>
      </c>
      <c r="B104" s="85">
        <v>42.5</v>
      </c>
      <c r="C104" s="85">
        <v>38</v>
      </c>
      <c r="D104" s="85">
        <v>42.5</v>
      </c>
      <c r="E104" s="85">
        <v>21.5</v>
      </c>
      <c r="F104" s="6" t="s">
        <v>1574</v>
      </c>
      <c r="G104" s="6">
        <v>6</v>
      </c>
      <c r="H104" s="6">
        <v>126</v>
      </c>
      <c r="I104" s="3" t="s">
        <v>1594</v>
      </c>
      <c r="J104" s="17"/>
    </row>
    <row r="105" spans="1:10" ht="12.75">
      <c r="A105" s="85">
        <v>2.4</v>
      </c>
      <c r="B105" s="85">
        <v>42.5</v>
      </c>
      <c r="C105" s="85">
        <v>40</v>
      </c>
      <c r="D105" s="85">
        <v>42.5</v>
      </c>
      <c r="E105" s="85">
        <v>20.5</v>
      </c>
      <c r="F105" s="6" t="s">
        <v>1574</v>
      </c>
      <c r="G105" s="6">
        <v>7</v>
      </c>
      <c r="H105" s="6">
        <v>130</v>
      </c>
      <c r="I105" s="3" t="s">
        <v>1595</v>
      </c>
      <c r="J105" s="17"/>
    </row>
    <row r="106" spans="1:10" ht="12.75">
      <c r="A106" s="85">
        <v>2.4</v>
      </c>
      <c r="B106" s="85">
        <v>53</v>
      </c>
      <c r="C106" s="85">
        <v>36.5</v>
      </c>
      <c r="D106" s="85">
        <v>53</v>
      </c>
      <c r="E106" s="85">
        <v>36.5</v>
      </c>
      <c r="F106" s="6" t="s">
        <v>1387</v>
      </c>
      <c r="G106" s="6"/>
      <c r="H106" s="6">
        <v>100</v>
      </c>
      <c r="I106" s="3" t="s">
        <v>1390</v>
      </c>
      <c r="J106" s="17"/>
    </row>
    <row r="107" spans="1:10" ht="12.75">
      <c r="A107" s="85">
        <v>2.4</v>
      </c>
      <c r="B107" s="85">
        <v>53</v>
      </c>
      <c r="C107" s="85">
        <v>26</v>
      </c>
      <c r="D107" s="85">
        <v>53</v>
      </c>
      <c r="E107" s="85">
        <v>26</v>
      </c>
      <c r="F107" s="6" t="s">
        <v>1574</v>
      </c>
      <c r="G107" s="6"/>
      <c r="H107" s="6">
        <v>140</v>
      </c>
      <c r="I107" s="3" t="s">
        <v>1390</v>
      </c>
      <c r="J107" s="17"/>
    </row>
    <row r="108" spans="1:10" ht="12.75">
      <c r="A108" s="85">
        <v>2.3</v>
      </c>
      <c r="B108" s="85">
        <v>39</v>
      </c>
      <c r="C108" s="85">
        <v>34</v>
      </c>
      <c r="D108" s="85">
        <v>39</v>
      </c>
      <c r="E108" s="85">
        <v>34</v>
      </c>
      <c r="F108" s="6" t="s">
        <v>1387</v>
      </c>
      <c r="G108" s="6"/>
      <c r="H108" s="6">
        <v>100</v>
      </c>
      <c r="I108" s="7" t="s">
        <v>561</v>
      </c>
      <c r="J108" s="17"/>
    </row>
    <row r="109" spans="1:11" ht="12.75">
      <c r="A109" s="85">
        <v>2.4</v>
      </c>
      <c r="B109" s="85">
        <v>38.5</v>
      </c>
      <c r="C109" s="85">
        <v>34.1</v>
      </c>
      <c r="D109" s="85">
        <v>38.5</v>
      </c>
      <c r="E109" s="85">
        <v>34.1</v>
      </c>
      <c r="F109" s="6" t="s">
        <v>1387</v>
      </c>
      <c r="G109" s="6"/>
      <c r="H109" s="6">
        <v>100</v>
      </c>
      <c r="I109" s="7" t="s">
        <v>562</v>
      </c>
      <c r="J109" s="135">
        <v>37316</v>
      </c>
      <c r="K109" s="90" t="s">
        <v>560</v>
      </c>
    </row>
    <row r="110" spans="1:11" ht="12.75">
      <c r="A110" s="85">
        <v>2.4</v>
      </c>
      <c r="B110" s="85">
        <v>44</v>
      </c>
      <c r="C110" s="85">
        <v>36.5</v>
      </c>
      <c r="D110" s="85">
        <v>44</v>
      </c>
      <c r="E110" s="85">
        <v>16.7</v>
      </c>
      <c r="F110" s="6" t="s">
        <v>1574</v>
      </c>
      <c r="G110" s="6">
        <v>9</v>
      </c>
      <c r="H110" s="6">
        <v>130</v>
      </c>
      <c r="I110" s="7" t="s">
        <v>562</v>
      </c>
      <c r="J110" s="135">
        <v>37316</v>
      </c>
      <c r="K110" s="90" t="s">
        <v>560</v>
      </c>
    </row>
    <row r="111" spans="1:11" ht="12.75">
      <c r="A111" s="85">
        <v>2.7</v>
      </c>
      <c r="B111" s="85">
        <v>40</v>
      </c>
      <c r="C111" s="85">
        <v>33.6</v>
      </c>
      <c r="D111" s="85">
        <v>40</v>
      </c>
      <c r="E111" s="85">
        <v>33.6</v>
      </c>
      <c r="F111" s="6" t="s">
        <v>1387</v>
      </c>
      <c r="G111" s="6"/>
      <c r="H111" s="6">
        <v>100</v>
      </c>
      <c r="I111" s="7" t="s">
        <v>563</v>
      </c>
      <c r="J111" s="135">
        <v>37316</v>
      </c>
      <c r="K111" s="90" t="s">
        <v>560</v>
      </c>
    </row>
    <row r="112" spans="1:11" ht="12.75">
      <c r="A112" s="85">
        <v>2.4</v>
      </c>
      <c r="B112" s="85">
        <v>44</v>
      </c>
      <c r="C112" s="85">
        <v>36.5</v>
      </c>
      <c r="D112" s="85">
        <v>44</v>
      </c>
      <c r="E112" s="85">
        <v>16.7</v>
      </c>
      <c r="F112" s="6" t="s">
        <v>1574</v>
      </c>
      <c r="G112" s="6">
        <v>8</v>
      </c>
      <c r="H112" s="6">
        <v>130</v>
      </c>
      <c r="I112" s="7" t="s">
        <v>563</v>
      </c>
      <c r="J112" s="135">
        <v>37316</v>
      </c>
      <c r="K112" s="90" t="s">
        <v>560</v>
      </c>
    </row>
    <row r="113" spans="1:11" ht="12.75">
      <c r="A113" s="85">
        <v>2.4</v>
      </c>
      <c r="B113" s="85">
        <v>44.5</v>
      </c>
      <c r="C113" s="85">
        <v>36</v>
      </c>
      <c r="D113" s="85">
        <v>44.5</v>
      </c>
      <c r="E113" s="85">
        <v>17</v>
      </c>
      <c r="F113" s="6" t="s">
        <v>1574</v>
      </c>
      <c r="G113" s="6">
        <v>8</v>
      </c>
      <c r="H113" s="6">
        <v>130</v>
      </c>
      <c r="I113" s="3" t="s">
        <v>1596</v>
      </c>
      <c r="J113" s="135">
        <v>37316</v>
      </c>
      <c r="K113" s="90" t="s">
        <v>560</v>
      </c>
    </row>
    <row r="114" spans="1:10" ht="12.75">
      <c r="A114" s="85">
        <v>2.3</v>
      </c>
      <c r="B114" s="85">
        <v>67</v>
      </c>
      <c r="C114" s="85">
        <v>33</v>
      </c>
      <c r="D114" s="85">
        <v>67</v>
      </c>
      <c r="E114" s="85">
        <v>24</v>
      </c>
      <c r="F114" s="6" t="s">
        <v>1574</v>
      </c>
      <c r="G114" s="6">
        <v>5</v>
      </c>
      <c r="H114" s="6">
        <v>120</v>
      </c>
      <c r="I114" s="3" t="s">
        <v>1597</v>
      </c>
      <c r="J114" s="17"/>
    </row>
    <row r="115" spans="1:10" ht="12.75">
      <c r="A115" s="85">
        <v>2.3</v>
      </c>
      <c r="B115" s="85">
        <v>67</v>
      </c>
      <c r="C115" s="85">
        <v>36</v>
      </c>
      <c r="D115" s="85">
        <v>67</v>
      </c>
      <c r="E115" s="85">
        <v>21</v>
      </c>
      <c r="F115" s="6" t="s">
        <v>1574</v>
      </c>
      <c r="G115" s="6">
        <v>6</v>
      </c>
      <c r="H115" s="6">
        <v>126</v>
      </c>
      <c r="I115" s="3" t="s">
        <v>1598</v>
      </c>
      <c r="J115" s="17"/>
    </row>
    <row r="116" spans="1:10" ht="12.75">
      <c r="A116" s="85">
        <v>2.3</v>
      </c>
      <c r="B116" s="85">
        <v>67</v>
      </c>
      <c r="C116" s="85">
        <v>34</v>
      </c>
      <c r="D116" s="85">
        <v>67</v>
      </c>
      <c r="E116" s="85">
        <v>34</v>
      </c>
      <c r="F116" s="6" t="s">
        <v>1387</v>
      </c>
      <c r="G116" s="6"/>
      <c r="H116" s="6">
        <v>100</v>
      </c>
      <c r="I116" s="3" t="s">
        <v>1391</v>
      </c>
      <c r="J116" s="17"/>
    </row>
    <row r="117" spans="1:10" ht="12.75">
      <c r="A117" s="85">
        <v>2.3</v>
      </c>
      <c r="B117" s="85">
        <v>44</v>
      </c>
      <c r="C117" s="85">
        <v>37</v>
      </c>
      <c r="D117" s="85">
        <v>44</v>
      </c>
      <c r="E117" s="85">
        <v>20</v>
      </c>
      <c r="F117" s="6" t="s">
        <v>1574</v>
      </c>
      <c r="G117" s="6">
        <v>7</v>
      </c>
      <c r="H117" s="6">
        <v>127</v>
      </c>
      <c r="I117" s="4" t="s">
        <v>1599</v>
      </c>
      <c r="J117" s="17"/>
    </row>
    <row r="118" spans="1:10" ht="12.75">
      <c r="A118" s="85">
        <v>2.4</v>
      </c>
      <c r="B118" s="85">
        <v>44.5</v>
      </c>
      <c r="C118" s="85">
        <v>35.5</v>
      </c>
      <c r="D118" s="85">
        <v>44.5</v>
      </c>
      <c r="E118" s="85">
        <v>18</v>
      </c>
      <c r="F118" s="6" t="s">
        <v>1574</v>
      </c>
      <c r="G118" s="6">
        <v>8</v>
      </c>
      <c r="H118" s="6">
        <v>135</v>
      </c>
      <c r="I118" s="3" t="s">
        <v>1602</v>
      </c>
      <c r="J118" s="17"/>
    </row>
    <row r="119" spans="1:10" ht="12.75">
      <c r="A119" s="85">
        <v>2.4</v>
      </c>
      <c r="B119" s="85">
        <v>44.5</v>
      </c>
      <c r="C119" s="85">
        <v>36</v>
      </c>
      <c r="D119" s="85">
        <v>44.5</v>
      </c>
      <c r="E119" s="85">
        <v>20.5</v>
      </c>
      <c r="F119" s="6" t="s">
        <v>1574</v>
      </c>
      <c r="G119" s="6">
        <v>7</v>
      </c>
      <c r="H119" s="6">
        <v>130</v>
      </c>
      <c r="I119" s="3" t="s">
        <v>1604</v>
      </c>
      <c r="J119" s="17"/>
    </row>
    <row r="120" spans="1:11" ht="12.75">
      <c r="A120" s="85">
        <v>2.4</v>
      </c>
      <c r="B120" s="85">
        <v>39</v>
      </c>
      <c r="C120" s="85">
        <v>35.4</v>
      </c>
      <c r="D120" s="85">
        <v>39</v>
      </c>
      <c r="E120" s="85">
        <v>35.4</v>
      </c>
      <c r="F120" s="6" t="s">
        <v>1387</v>
      </c>
      <c r="G120" s="6"/>
      <c r="H120" s="6">
        <v>100</v>
      </c>
      <c r="I120" s="3" t="s">
        <v>559</v>
      </c>
      <c r="J120" s="135">
        <v>37316</v>
      </c>
      <c r="K120" s="90" t="s">
        <v>560</v>
      </c>
    </row>
    <row r="121" spans="1:10" ht="12.75">
      <c r="A121" s="85">
        <v>2.3</v>
      </c>
      <c r="B121" s="85">
        <v>44.5</v>
      </c>
      <c r="C121" s="85">
        <v>36</v>
      </c>
      <c r="D121" s="85">
        <v>44.5</v>
      </c>
      <c r="E121" s="85">
        <v>21</v>
      </c>
      <c r="F121" s="6" t="s">
        <v>1574</v>
      </c>
      <c r="G121" s="6">
        <v>6</v>
      </c>
      <c r="H121" s="6">
        <v>126</v>
      </c>
      <c r="I121" s="3" t="s">
        <v>1605</v>
      </c>
      <c r="J121" s="17"/>
    </row>
    <row r="122" spans="1:10" ht="12.75">
      <c r="A122" s="85">
        <v>2.3</v>
      </c>
      <c r="B122" s="85">
        <v>44</v>
      </c>
      <c r="C122" s="85">
        <v>33</v>
      </c>
      <c r="D122" s="85">
        <v>67</v>
      </c>
      <c r="E122" s="85">
        <v>24</v>
      </c>
      <c r="F122" s="6" t="s">
        <v>1574</v>
      </c>
      <c r="G122" s="6">
        <v>5</v>
      </c>
      <c r="H122" s="6">
        <v>120</v>
      </c>
      <c r="I122" s="3" t="s">
        <v>1606</v>
      </c>
      <c r="J122" s="17"/>
    </row>
    <row r="123" spans="1:10" ht="12.75">
      <c r="A123" s="85">
        <v>2.3</v>
      </c>
      <c r="B123" s="85">
        <v>38.5</v>
      </c>
      <c r="C123" s="85">
        <v>35</v>
      </c>
      <c r="D123" s="85">
        <v>38.5</v>
      </c>
      <c r="E123" s="85">
        <v>35</v>
      </c>
      <c r="F123" s="6" t="s">
        <v>1387</v>
      </c>
      <c r="G123" s="6"/>
      <c r="H123" s="6">
        <v>100</v>
      </c>
      <c r="I123" s="4" t="s">
        <v>1392</v>
      </c>
      <c r="J123" s="17"/>
    </row>
    <row r="124" spans="1:11" ht="12.75">
      <c r="A124" s="85">
        <v>2.7</v>
      </c>
      <c r="B124" s="85">
        <v>44</v>
      </c>
      <c r="C124" s="85">
        <v>34</v>
      </c>
      <c r="D124" s="85">
        <v>44</v>
      </c>
      <c r="E124" s="85">
        <v>25</v>
      </c>
      <c r="F124" s="6" t="s">
        <v>1574</v>
      </c>
      <c r="G124" s="6">
        <v>5</v>
      </c>
      <c r="H124" s="6">
        <v>120</v>
      </c>
      <c r="I124" s="3" t="s">
        <v>626</v>
      </c>
      <c r="J124" s="136">
        <v>39124</v>
      </c>
      <c r="K124" s="90" t="s">
        <v>627</v>
      </c>
    </row>
    <row r="125" spans="1:11" ht="12.75">
      <c r="A125" s="85">
        <v>2.4</v>
      </c>
      <c r="B125" s="85">
        <v>39</v>
      </c>
      <c r="C125" s="85">
        <v>35.35</v>
      </c>
      <c r="D125" s="85">
        <v>39</v>
      </c>
      <c r="E125" s="85">
        <v>35.4</v>
      </c>
      <c r="F125" s="6" t="s">
        <v>1387</v>
      </c>
      <c r="G125" s="6"/>
      <c r="H125" s="6">
        <v>100</v>
      </c>
      <c r="I125" s="3" t="s">
        <v>557</v>
      </c>
      <c r="J125" s="135">
        <v>37316</v>
      </c>
      <c r="K125" s="90" t="s">
        <v>560</v>
      </c>
    </row>
    <row r="126" spans="1:11" ht="12.75">
      <c r="A126" s="85">
        <v>2.4</v>
      </c>
      <c r="B126" s="85">
        <v>44</v>
      </c>
      <c r="C126" s="85">
        <v>36.76</v>
      </c>
      <c r="D126" s="85">
        <v>46</v>
      </c>
      <c r="E126" s="85">
        <v>16.8</v>
      </c>
      <c r="F126" s="6" t="s">
        <v>1574</v>
      </c>
      <c r="G126" s="6" t="s">
        <v>564</v>
      </c>
      <c r="H126" s="6">
        <v>130</v>
      </c>
      <c r="I126" s="3" t="s">
        <v>556</v>
      </c>
      <c r="J126" s="135">
        <v>37316</v>
      </c>
      <c r="K126" s="90" t="s">
        <v>560</v>
      </c>
    </row>
    <row r="127" spans="1:10" ht="12.75">
      <c r="A127" s="85">
        <v>2.3</v>
      </c>
      <c r="B127" s="85">
        <v>65</v>
      </c>
      <c r="C127" s="85">
        <v>31.5</v>
      </c>
      <c r="D127" s="85">
        <v>65</v>
      </c>
      <c r="E127" s="85">
        <v>31.5</v>
      </c>
      <c r="F127" s="6" t="s">
        <v>1387</v>
      </c>
      <c r="G127" s="6"/>
      <c r="H127" s="6">
        <v>100</v>
      </c>
      <c r="I127" s="3" t="s">
        <v>1393</v>
      </c>
      <c r="J127" s="17"/>
    </row>
    <row r="128" spans="1:10" ht="12.75">
      <c r="A128" s="85">
        <v>2.4</v>
      </c>
      <c r="B128" s="85">
        <v>65</v>
      </c>
      <c r="C128" s="85">
        <v>28</v>
      </c>
      <c r="D128" s="85">
        <v>65</v>
      </c>
      <c r="E128" s="85">
        <v>28</v>
      </c>
      <c r="F128" s="6" t="s">
        <v>1574</v>
      </c>
      <c r="G128" s="6">
        <v>8</v>
      </c>
      <c r="H128" s="6">
        <v>140</v>
      </c>
      <c r="I128" s="3" t="s">
        <v>1607</v>
      </c>
      <c r="J128" s="17"/>
    </row>
    <row r="129" spans="1:10" ht="12.75">
      <c r="A129" s="85">
        <v>2.4</v>
      </c>
      <c r="B129" s="85">
        <v>67</v>
      </c>
      <c r="C129" s="85">
        <v>35</v>
      </c>
      <c r="D129" s="85">
        <v>67</v>
      </c>
      <c r="E129" s="85">
        <v>30</v>
      </c>
      <c r="F129" s="6" t="s">
        <v>1574</v>
      </c>
      <c r="G129" s="6">
        <v>1</v>
      </c>
      <c r="H129" s="6">
        <v>120</v>
      </c>
      <c r="I129" s="3" t="s">
        <v>1608</v>
      </c>
      <c r="J129" s="17"/>
    </row>
    <row r="130" spans="1:10" ht="12.75">
      <c r="A130" s="85">
        <v>2.3</v>
      </c>
      <c r="B130" s="85">
        <v>67</v>
      </c>
      <c r="C130" s="85">
        <v>44</v>
      </c>
      <c r="D130" s="85">
        <v>67</v>
      </c>
      <c r="E130" s="85">
        <v>31</v>
      </c>
      <c r="F130" s="6" t="s">
        <v>1574</v>
      </c>
      <c r="G130" s="6">
        <v>1</v>
      </c>
      <c r="H130" s="6"/>
      <c r="I130" s="3" t="s">
        <v>1609</v>
      </c>
      <c r="J130" s="17"/>
    </row>
    <row r="131" spans="1:10" ht="12.75">
      <c r="A131" s="85">
        <v>2.3</v>
      </c>
      <c r="B131" s="85">
        <v>44</v>
      </c>
      <c r="C131" s="85">
        <v>44.5</v>
      </c>
      <c r="D131" s="85">
        <v>44</v>
      </c>
      <c r="E131" s="85">
        <v>31.5</v>
      </c>
      <c r="F131" s="6" t="s">
        <v>1574</v>
      </c>
      <c r="G131" s="6">
        <v>1</v>
      </c>
      <c r="H131" s="6">
        <v>120</v>
      </c>
      <c r="I131" s="4" t="s">
        <v>1610</v>
      </c>
      <c r="J131" s="17"/>
    </row>
    <row r="132" spans="1:11" ht="12.75">
      <c r="A132" s="85">
        <v>2.3</v>
      </c>
      <c r="B132" s="85">
        <v>43.5</v>
      </c>
      <c r="C132" s="85">
        <v>39.9</v>
      </c>
      <c r="D132" s="85">
        <v>43.5</v>
      </c>
      <c r="E132" s="85">
        <v>14.45</v>
      </c>
      <c r="F132" s="6" t="s">
        <v>1574</v>
      </c>
      <c r="G132" s="6"/>
      <c r="H132" s="6">
        <v>130</v>
      </c>
      <c r="I132" s="7" t="s">
        <v>508</v>
      </c>
      <c r="J132" s="135">
        <v>37254</v>
      </c>
      <c r="K132" s="90" t="s">
        <v>414</v>
      </c>
    </row>
    <row r="133" spans="1:11" ht="12.75">
      <c r="A133" s="85">
        <v>2.3</v>
      </c>
      <c r="B133" s="85">
        <v>43.5</v>
      </c>
      <c r="C133" s="85">
        <v>37.4</v>
      </c>
      <c r="D133" s="85">
        <v>43.5</v>
      </c>
      <c r="E133" s="85">
        <v>19.95</v>
      </c>
      <c r="F133" s="6" t="s">
        <v>1574</v>
      </c>
      <c r="G133" s="6"/>
      <c r="H133" s="6">
        <v>135</v>
      </c>
      <c r="I133" s="7" t="s">
        <v>508</v>
      </c>
      <c r="J133" s="135">
        <v>37254</v>
      </c>
      <c r="K133" s="90" t="s">
        <v>414</v>
      </c>
    </row>
    <row r="134" spans="1:11" ht="12.75">
      <c r="A134" s="85">
        <v>2.5</v>
      </c>
      <c r="B134" s="85">
        <v>57</v>
      </c>
      <c r="C134" s="85">
        <v>35</v>
      </c>
      <c r="D134" s="85">
        <v>45</v>
      </c>
      <c r="E134" s="85">
        <v>19.2</v>
      </c>
      <c r="F134" s="6" t="s">
        <v>1574</v>
      </c>
      <c r="G134" s="6"/>
      <c r="H134" s="6">
        <v>135</v>
      </c>
      <c r="I134" s="7" t="s">
        <v>509</v>
      </c>
      <c r="J134" s="135">
        <v>37254</v>
      </c>
      <c r="K134" s="90" t="s">
        <v>414</v>
      </c>
    </row>
    <row r="135" spans="1:11" ht="12.75">
      <c r="A135" s="85">
        <v>2.5</v>
      </c>
      <c r="B135" s="85">
        <v>58</v>
      </c>
      <c r="C135" s="86">
        <v>18.35</v>
      </c>
      <c r="D135" s="85">
        <v>45</v>
      </c>
      <c r="E135" s="86">
        <v>31.56</v>
      </c>
      <c r="F135" s="6" t="s">
        <v>1387</v>
      </c>
      <c r="G135" s="6"/>
      <c r="H135" s="6" t="s">
        <v>1394</v>
      </c>
      <c r="I135" s="3" t="s">
        <v>488</v>
      </c>
      <c r="J135" s="135">
        <v>37301</v>
      </c>
      <c r="K135" s="90" t="s">
        <v>862</v>
      </c>
    </row>
    <row r="136" spans="1:11" ht="12.75">
      <c r="A136" s="85">
        <v>2.6</v>
      </c>
      <c r="B136" s="85">
        <v>52.6</v>
      </c>
      <c r="C136" s="85">
        <v>37.5</v>
      </c>
      <c r="D136" s="85">
        <v>52.6</v>
      </c>
      <c r="E136" s="85">
        <v>16.6</v>
      </c>
      <c r="F136" s="6" t="s">
        <v>1574</v>
      </c>
      <c r="G136" s="6" t="s">
        <v>1577</v>
      </c>
      <c r="H136" s="6">
        <v>135</v>
      </c>
      <c r="I136" s="7" t="s">
        <v>1611</v>
      </c>
      <c r="J136" s="135">
        <v>37190</v>
      </c>
      <c r="K136" s="90" t="s">
        <v>1410</v>
      </c>
    </row>
    <row r="137" spans="1:10" ht="12.75">
      <c r="A137" s="85">
        <v>2.3</v>
      </c>
      <c r="B137" s="85">
        <v>40</v>
      </c>
      <c r="C137" s="85">
        <v>34</v>
      </c>
      <c r="D137" s="85">
        <v>40</v>
      </c>
      <c r="E137" s="85">
        <v>34</v>
      </c>
      <c r="F137" s="6" t="s">
        <v>1387</v>
      </c>
      <c r="G137" s="6"/>
      <c r="H137" s="6">
        <v>100</v>
      </c>
      <c r="I137" s="7" t="s">
        <v>1395</v>
      </c>
      <c r="J137" s="17"/>
    </row>
    <row r="138" spans="1:11" ht="12.75">
      <c r="A138" s="85">
        <v>2.3</v>
      </c>
      <c r="B138" s="85">
        <v>44</v>
      </c>
      <c r="C138" s="85">
        <v>36</v>
      </c>
      <c r="D138" s="85">
        <v>53</v>
      </c>
      <c r="E138" s="85">
        <v>21</v>
      </c>
      <c r="F138" s="6" t="s">
        <v>1574</v>
      </c>
      <c r="G138" s="6">
        <v>8</v>
      </c>
      <c r="H138" s="6">
        <v>135</v>
      </c>
      <c r="I138" s="7" t="s">
        <v>77</v>
      </c>
      <c r="J138" s="17">
        <v>2001</v>
      </c>
      <c r="K138" s="90" t="s">
        <v>277</v>
      </c>
    </row>
    <row r="139" spans="1:11" ht="12.75">
      <c r="A139" s="85">
        <v>2.3</v>
      </c>
      <c r="B139" s="85">
        <v>44</v>
      </c>
      <c r="C139" s="85">
        <v>38.5</v>
      </c>
      <c r="D139" s="85">
        <v>53</v>
      </c>
      <c r="E139" s="85">
        <v>18.5</v>
      </c>
      <c r="F139" s="6" t="s">
        <v>1574</v>
      </c>
      <c r="G139" s="6">
        <v>8</v>
      </c>
      <c r="H139" s="6">
        <v>130</v>
      </c>
      <c r="I139" s="7" t="s">
        <v>78</v>
      </c>
      <c r="J139" s="17">
        <v>2001</v>
      </c>
      <c r="K139" s="90" t="s">
        <v>277</v>
      </c>
    </row>
    <row r="140" spans="1:11" ht="12.75">
      <c r="A140" s="85">
        <v>2.3</v>
      </c>
      <c r="B140" s="85">
        <v>44</v>
      </c>
      <c r="C140" s="85">
        <v>33.5</v>
      </c>
      <c r="D140" s="85">
        <v>53</v>
      </c>
      <c r="E140" s="85">
        <v>23.5</v>
      </c>
      <c r="F140" s="6" t="s">
        <v>1574</v>
      </c>
      <c r="G140" s="6">
        <v>8</v>
      </c>
      <c r="H140" s="6">
        <v>140</v>
      </c>
      <c r="I140" s="7" t="s">
        <v>79</v>
      </c>
      <c r="J140" s="17">
        <v>2001</v>
      </c>
      <c r="K140" s="90" t="s">
        <v>277</v>
      </c>
    </row>
    <row r="141" spans="1:10" ht="12.75">
      <c r="A141" s="85">
        <v>2.3</v>
      </c>
      <c r="B141" s="85">
        <v>40</v>
      </c>
      <c r="C141" s="85">
        <v>34</v>
      </c>
      <c r="D141" s="85">
        <v>40</v>
      </c>
      <c r="E141" s="85">
        <v>34</v>
      </c>
      <c r="F141" s="6" t="s">
        <v>1387</v>
      </c>
      <c r="G141" s="6"/>
      <c r="H141" s="6">
        <v>100</v>
      </c>
      <c r="I141" s="7" t="s">
        <v>1396</v>
      </c>
      <c r="J141" s="17"/>
    </row>
    <row r="142" spans="1:10" ht="12.75">
      <c r="A142" s="85">
        <v>2.3</v>
      </c>
      <c r="B142" s="85">
        <v>40</v>
      </c>
      <c r="C142" s="85">
        <v>37.5</v>
      </c>
      <c r="D142" s="85">
        <v>40</v>
      </c>
      <c r="E142" s="85">
        <v>37.5</v>
      </c>
      <c r="F142" s="6" t="s">
        <v>1387</v>
      </c>
      <c r="G142" s="6"/>
      <c r="H142" s="6">
        <v>100</v>
      </c>
      <c r="I142" s="7" t="s">
        <v>1400</v>
      </c>
      <c r="J142" s="17"/>
    </row>
    <row r="143" spans="1:11" ht="12.75">
      <c r="A143" s="85">
        <v>2.3</v>
      </c>
      <c r="B143" s="85">
        <v>44</v>
      </c>
      <c r="C143" s="85">
        <v>36</v>
      </c>
      <c r="D143" s="85">
        <v>53</v>
      </c>
      <c r="E143" s="85">
        <v>21</v>
      </c>
      <c r="F143" s="6" t="s">
        <v>1574</v>
      </c>
      <c r="G143" s="6">
        <v>8</v>
      </c>
      <c r="H143" s="6">
        <v>135</v>
      </c>
      <c r="I143" s="7" t="s">
        <v>80</v>
      </c>
      <c r="J143" s="17">
        <v>2001</v>
      </c>
      <c r="K143" s="90" t="s">
        <v>277</v>
      </c>
    </row>
    <row r="144" spans="1:11" ht="12.75">
      <c r="A144" s="85">
        <v>2.3</v>
      </c>
      <c r="B144" s="85">
        <v>44</v>
      </c>
      <c r="C144" s="85">
        <v>38.5</v>
      </c>
      <c r="D144" s="85">
        <v>53</v>
      </c>
      <c r="E144" s="85">
        <v>18.5</v>
      </c>
      <c r="F144" s="6" t="s">
        <v>1574</v>
      </c>
      <c r="G144" s="6">
        <v>8</v>
      </c>
      <c r="H144" s="6">
        <v>130</v>
      </c>
      <c r="I144" s="7" t="s">
        <v>81</v>
      </c>
      <c r="J144" s="17">
        <v>2001</v>
      </c>
      <c r="K144" s="90" t="s">
        <v>277</v>
      </c>
    </row>
    <row r="145" spans="1:10" ht="12.75">
      <c r="A145" s="85">
        <v>2.5</v>
      </c>
      <c r="B145" s="85">
        <v>57.6</v>
      </c>
      <c r="C145" s="85">
        <v>23.1</v>
      </c>
      <c r="D145" s="85">
        <v>57.6</v>
      </c>
      <c r="E145" s="85">
        <v>31.2</v>
      </c>
      <c r="F145" s="6" t="s">
        <v>1387</v>
      </c>
      <c r="G145" s="6"/>
      <c r="H145" s="6">
        <v>110</v>
      </c>
      <c r="I145" s="7" t="s">
        <v>169</v>
      </c>
      <c r="J145" s="17"/>
    </row>
    <row r="146" spans="1:11" ht="12.75">
      <c r="A146" s="85">
        <v>2.5</v>
      </c>
      <c r="B146" s="85">
        <v>57.6</v>
      </c>
      <c r="C146" s="85">
        <v>22.5</v>
      </c>
      <c r="D146" s="85">
        <v>57.6</v>
      </c>
      <c r="E146" s="85">
        <v>30.4</v>
      </c>
      <c r="F146" s="6" t="s">
        <v>1387</v>
      </c>
      <c r="G146" s="6"/>
      <c r="H146" s="6">
        <v>100</v>
      </c>
      <c r="I146" s="7" t="s">
        <v>166</v>
      </c>
      <c r="J146" s="135">
        <v>37320</v>
      </c>
      <c r="K146" s="90" t="s">
        <v>159</v>
      </c>
    </row>
    <row r="147" spans="1:11" ht="12.75">
      <c r="A147" s="85">
        <v>2.5</v>
      </c>
      <c r="B147" s="85">
        <v>57.6</v>
      </c>
      <c r="C147" s="85">
        <v>33.9</v>
      </c>
      <c r="D147" s="85">
        <v>57.6</v>
      </c>
      <c r="E147" s="85">
        <v>20.1</v>
      </c>
      <c r="F147" s="6" t="s">
        <v>1574</v>
      </c>
      <c r="G147" s="6" t="s">
        <v>1577</v>
      </c>
      <c r="H147" s="6">
        <v>135</v>
      </c>
      <c r="I147" s="7" t="s">
        <v>166</v>
      </c>
      <c r="J147" s="135">
        <v>37320</v>
      </c>
      <c r="K147" s="90" t="s">
        <v>159</v>
      </c>
    </row>
    <row r="148" spans="1:11" ht="12.75">
      <c r="A148" s="85">
        <v>2.5</v>
      </c>
      <c r="B148" s="85">
        <v>53</v>
      </c>
      <c r="C148" s="85">
        <v>33.7</v>
      </c>
      <c r="D148" s="85">
        <v>53</v>
      </c>
      <c r="E148" s="85">
        <v>33.7</v>
      </c>
      <c r="F148" s="6" t="s">
        <v>1574</v>
      </c>
      <c r="G148" s="6">
        <v>1</v>
      </c>
      <c r="H148" s="6">
        <v>135</v>
      </c>
      <c r="I148" s="7" t="s">
        <v>168</v>
      </c>
      <c r="J148" s="135">
        <v>37474</v>
      </c>
      <c r="K148" s="90" t="s">
        <v>567</v>
      </c>
    </row>
    <row r="149" spans="1:11" ht="12.75">
      <c r="A149" s="85">
        <v>2.5</v>
      </c>
      <c r="B149" s="85">
        <v>53</v>
      </c>
      <c r="C149" s="85">
        <v>34.2</v>
      </c>
      <c r="D149" s="85">
        <v>53</v>
      </c>
      <c r="E149" s="85">
        <v>32</v>
      </c>
      <c r="F149" s="6" t="s">
        <v>1574</v>
      </c>
      <c r="G149" s="6">
        <v>1</v>
      </c>
      <c r="H149" s="6">
        <v>135</v>
      </c>
      <c r="I149" s="7" t="s">
        <v>168</v>
      </c>
      <c r="J149" s="135">
        <v>38304</v>
      </c>
      <c r="K149" s="90" t="s">
        <v>251</v>
      </c>
    </row>
    <row r="150" spans="1:10" ht="12.75">
      <c r="A150" s="85">
        <v>2.4</v>
      </c>
      <c r="B150" s="85">
        <v>53</v>
      </c>
      <c r="C150" s="85">
        <v>23</v>
      </c>
      <c r="D150" s="85">
        <v>53</v>
      </c>
      <c r="E150" s="85">
        <v>31.5</v>
      </c>
      <c r="F150" s="6" t="s">
        <v>1387</v>
      </c>
      <c r="G150" s="6"/>
      <c r="H150" s="6">
        <v>100</v>
      </c>
      <c r="I150" s="7" t="s">
        <v>167</v>
      </c>
      <c r="J150" s="17"/>
    </row>
    <row r="151" spans="1:11" ht="12.75">
      <c r="A151" s="85">
        <v>2.3</v>
      </c>
      <c r="B151" s="85">
        <v>53</v>
      </c>
      <c r="C151" s="85">
        <v>34</v>
      </c>
      <c r="D151" s="85">
        <v>53</v>
      </c>
      <c r="E151" s="85">
        <v>21</v>
      </c>
      <c r="F151" s="6" t="s">
        <v>1574</v>
      </c>
      <c r="G151" s="6" t="s">
        <v>1577</v>
      </c>
      <c r="H151" s="6">
        <v>135</v>
      </c>
      <c r="I151" s="7" t="s">
        <v>165</v>
      </c>
      <c r="J151" s="17">
        <v>2001</v>
      </c>
      <c r="K151" s="90" t="s">
        <v>277</v>
      </c>
    </row>
    <row r="152" spans="1:11" ht="12.75">
      <c r="A152" s="85">
        <v>2.3</v>
      </c>
      <c r="B152" s="85">
        <v>53</v>
      </c>
      <c r="C152" s="85">
        <v>31.5</v>
      </c>
      <c r="D152" s="85">
        <v>53</v>
      </c>
      <c r="E152" s="85">
        <v>23.5</v>
      </c>
      <c r="F152" s="6" t="s">
        <v>1574</v>
      </c>
      <c r="G152" s="6">
        <v>8</v>
      </c>
      <c r="H152" s="6">
        <v>140</v>
      </c>
      <c r="I152" s="7" t="s">
        <v>160</v>
      </c>
      <c r="J152" s="17">
        <v>2001</v>
      </c>
      <c r="K152" s="90" t="s">
        <v>277</v>
      </c>
    </row>
    <row r="153" spans="1:11" ht="12.75">
      <c r="A153" s="85">
        <v>2.3</v>
      </c>
      <c r="B153" s="85">
        <v>53</v>
      </c>
      <c r="C153" s="85">
        <v>29</v>
      </c>
      <c r="D153" s="85">
        <v>53</v>
      </c>
      <c r="E153" s="85">
        <v>26</v>
      </c>
      <c r="F153" s="6" t="s">
        <v>1574</v>
      </c>
      <c r="G153" s="6">
        <v>8</v>
      </c>
      <c r="H153" s="6">
        <v>145</v>
      </c>
      <c r="I153" s="7" t="s">
        <v>164</v>
      </c>
      <c r="J153" s="17">
        <v>2001</v>
      </c>
      <c r="K153" s="90" t="s">
        <v>277</v>
      </c>
    </row>
    <row r="154" spans="1:10" ht="12.75">
      <c r="A154" s="85">
        <v>2.3</v>
      </c>
      <c r="B154" s="85">
        <v>40</v>
      </c>
      <c r="C154" s="85">
        <v>37.5</v>
      </c>
      <c r="D154" s="85">
        <v>40</v>
      </c>
      <c r="E154" s="85">
        <v>37.5</v>
      </c>
      <c r="F154" s="6" t="s">
        <v>1387</v>
      </c>
      <c r="G154" s="6"/>
      <c r="H154" s="6">
        <v>100</v>
      </c>
      <c r="I154" s="7" t="s">
        <v>1401</v>
      </c>
      <c r="J154" s="17"/>
    </row>
    <row r="155" spans="1:11" ht="12.75">
      <c r="A155" s="85">
        <v>2.3</v>
      </c>
      <c r="B155" s="85">
        <v>44</v>
      </c>
      <c r="C155" s="85">
        <v>30</v>
      </c>
      <c r="D155" s="85">
        <v>53</v>
      </c>
      <c r="E155" s="85">
        <v>27</v>
      </c>
      <c r="F155" s="6" t="s">
        <v>1574</v>
      </c>
      <c r="G155" s="6">
        <v>1</v>
      </c>
      <c r="H155" s="6">
        <v>110</v>
      </c>
      <c r="I155" s="7" t="s">
        <v>84</v>
      </c>
      <c r="J155" s="17">
        <v>2001</v>
      </c>
      <c r="K155" s="90" t="s">
        <v>277</v>
      </c>
    </row>
    <row r="156" spans="1:11" ht="12.75">
      <c r="A156" s="85">
        <v>2.3</v>
      </c>
      <c r="B156" s="85">
        <v>53</v>
      </c>
      <c r="C156" s="85">
        <v>34</v>
      </c>
      <c r="D156" s="85">
        <v>53</v>
      </c>
      <c r="E156" s="85">
        <v>21</v>
      </c>
      <c r="F156" s="6" t="s">
        <v>1574</v>
      </c>
      <c r="G156" s="6">
        <v>8</v>
      </c>
      <c r="H156" s="6">
        <v>135</v>
      </c>
      <c r="I156" s="7" t="s">
        <v>85</v>
      </c>
      <c r="J156" s="17">
        <v>2001</v>
      </c>
      <c r="K156" s="90" t="s">
        <v>277</v>
      </c>
    </row>
    <row r="157" spans="1:11" ht="12.75">
      <c r="A157" s="85">
        <v>2.3</v>
      </c>
      <c r="B157" s="85">
        <v>53</v>
      </c>
      <c r="C157" s="85">
        <v>31.5</v>
      </c>
      <c r="D157" s="85">
        <v>53</v>
      </c>
      <c r="E157" s="85">
        <v>23.5</v>
      </c>
      <c r="F157" s="6" t="s">
        <v>1574</v>
      </c>
      <c r="G157" s="6">
        <v>8</v>
      </c>
      <c r="H157" s="6">
        <v>140</v>
      </c>
      <c r="I157" s="7" t="s">
        <v>85</v>
      </c>
      <c r="J157" s="17">
        <v>2001</v>
      </c>
      <c r="K157" s="90" t="s">
        <v>277</v>
      </c>
    </row>
    <row r="158" spans="1:11" ht="12.75">
      <c r="A158" s="85">
        <v>2.5</v>
      </c>
      <c r="B158" s="85">
        <v>53</v>
      </c>
      <c r="C158" s="85">
        <v>31.5</v>
      </c>
      <c r="D158" s="85">
        <v>53</v>
      </c>
      <c r="E158" s="85">
        <v>23.5</v>
      </c>
      <c r="F158" s="6" t="s">
        <v>1574</v>
      </c>
      <c r="G158" s="6">
        <v>8</v>
      </c>
      <c r="H158" s="6">
        <v>140</v>
      </c>
      <c r="I158" s="7" t="s">
        <v>85</v>
      </c>
      <c r="J158" s="17">
        <v>2001</v>
      </c>
      <c r="K158" s="90" t="s">
        <v>277</v>
      </c>
    </row>
    <row r="159" spans="1:10" ht="12.75">
      <c r="A159" s="85">
        <v>2.3</v>
      </c>
      <c r="B159" s="85">
        <v>40</v>
      </c>
      <c r="C159" s="85">
        <v>34</v>
      </c>
      <c r="D159" s="85">
        <v>40</v>
      </c>
      <c r="E159" s="85">
        <v>34</v>
      </c>
      <c r="F159" s="6" t="s">
        <v>1387</v>
      </c>
      <c r="G159" s="6"/>
      <c r="H159" s="6">
        <v>100</v>
      </c>
      <c r="I159" s="7" t="s">
        <v>1402</v>
      </c>
      <c r="J159" s="17"/>
    </row>
    <row r="160" spans="1:10" ht="12.75">
      <c r="A160" s="85">
        <v>2.3</v>
      </c>
      <c r="B160" s="85">
        <v>53</v>
      </c>
      <c r="C160" s="85">
        <v>33.7</v>
      </c>
      <c r="D160" s="85">
        <v>53</v>
      </c>
      <c r="E160" s="85">
        <v>33.7</v>
      </c>
      <c r="F160" s="6" t="s">
        <v>1387</v>
      </c>
      <c r="G160" s="6"/>
      <c r="H160" s="6">
        <v>100</v>
      </c>
      <c r="I160" s="7" t="s">
        <v>1403</v>
      </c>
      <c r="J160" s="17"/>
    </row>
    <row r="161" spans="1:11" ht="12.75">
      <c r="A161" s="85">
        <v>2.3</v>
      </c>
      <c r="B161" s="85">
        <v>53</v>
      </c>
      <c r="C161" s="85">
        <v>33.7</v>
      </c>
      <c r="D161" s="85">
        <v>53</v>
      </c>
      <c r="E161" s="85">
        <v>33.7</v>
      </c>
      <c r="F161" s="6" t="s">
        <v>1574</v>
      </c>
      <c r="G161" s="6">
        <v>1</v>
      </c>
      <c r="H161" s="6">
        <v>135</v>
      </c>
      <c r="I161" s="7" t="s">
        <v>1403</v>
      </c>
      <c r="J161" s="17">
        <v>2001</v>
      </c>
      <c r="K161" s="90" t="s">
        <v>277</v>
      </c>
    </row>
    <row r="162" spans="1:10" ht="12.75">
      <c r="A162" s="85">
        <v>2.3</v>
      </c>
      <c r="B162" s="85">
        <v>53</v>
      </c>
      <c r="C162" s="85">
        <v>33.7</v>
      </c>
      <c r="D162" s="85">
        <v>53</v>
      </c>
      <c r="E162" s="85">
        <v>33.7</v>
      </c>
      <c r="F162" s="6" t="s">
        <v>1387</v>
      </c>
      <c r="G162" s="6"/>
      <c r="H162" s="6">
        <v>100</v>
      </c>
      <c r="I162" s="7" t="s">
        <v>1404</v>
      </c>
      <c r="J162" s="17"/>
    </row>
    <row r="163" spans="1:11" ht="12.75">
      <c r="A163" s="85">
        <v>2.3</v>
      </c>
      <c r="B163" s="85">
        <v>53</v>
      </c>
      <c r="C163" s="85">
        <v>29</v>
      </c>
      <c r="D163" s="85">
        <v>53</v>
      </c>
      <c r="E163" s="85">
        <v>26</v>
      </c>
      <c r="F163" s="6" t="s">
        <v>1574</v>
      </c>
      <c r="G163" s="6" t="s">
        <v>1577</v>
      </c>
      <c r="H163" s="6">
        <v>145</v>
      </c>
      <c r="I163" s="7" t="s">
        <v>1404</v>
      </c>
      <c r="J163" s="17">
        <v>2001</v>
      </c>
      <c r="K163" s="90" t="s">
        <v>277</v>
      </c>
    </row>
    <row r="164" spans="1:11" ht="12.75">
      <c r="A164" s="85">
        <v>2.3</v>
      </c>
      <c r="B164" s="85">
        <v>53</v>
      </c>
      <c r="C164" s="85">
        <v>33.7</v>
      </c>
      <c r="D164" s="85">
        <v>53</v>
      </c>
      <c r="E164" s="85">
        <v>33.7</v>
      </c>
      <c r="F164" s="6" t="s">
        <v>1574</v>
      </c>
      <c r="G164" s="6" t="s">
        <v>1577</v>
      </c>
      <c r="H164" s="6">
        <v>160</v>
      </c>
      <c r="I164" s="7" t="s">
        <v>1404</v>
      </c>
      <c r="J164" s="17">
        <v>2001</v>
      </c>
      <c r="K164" s="90" t="s">
        <v>277</v>
      </c>
    </row>
    <row r="165" spans="1:10" ht="12.75">
      <c r="A165" s="85">
        <v>2.4</v>
      </c>
      <c r="B165" s="85">
        <v>39</v>
      </c>
      <c r="C165" s="85">
        <v>37</v>
      </c>
      <c r="D165" s="85">
        <v>39</v>
      </c>
      <c r="E165" s="85">
        <v>37</v>
      </c>
      <c r="F165" s="6" t="s">
        <v>1387</v>
      </c>
      <c r="G165" s="6"/>
      <c r="H165" s="6">
        <v>100</v>
      </c>
      <c r="I165" s="3" t="s">
        <v>1405</v>
      </c>
      <c r="J165" s="17"/>
    </row>
    <row r="166" spans="1:11" ht="12.75">
      <c r="A166" s="85">
        <v>2.6</v>
      </c>
      <c r="B166" s="85">
        <v>58</v>
      </c>
      <c r="C166" s="85">
        <v>37</v>
      </c>
      <c r="D166" s="85">
        <v>58</v>
      </c>
      <c r="E166" s="85">
        <v>20</v>
      </c>
      <c r="F166" s="6" t="s">
        <v>1574</v>
      </c>
      <c r="G166" s="6" t="s">
        <v>1577</v>
      </c>
      <c r="H166" s="6">
        <v>135</v>
      </c>
      <c r="I166" s="7" t="s">
        <v>86</v>
      </c>
      <c r="J166" s="135">
        <v>37190</v>
      </c>
      <c r="K166" s="90" t="s">
        <v>1410</v>
      </c>
    </row>
    <row r="167" spans="1:10" ht="12.75">
      <c r="A167" s="85">
        <v>2.6</v>
      </c>
      <c r="B167" s="85">
        <v>58</v>
      </c>
      <c r="C167" s="85">
        <v>20</v>
      </c>
      <c r="D167" s="85">
        <v>44.5</v>
      </c>
      <c r="E167" s="85">
        <v>35</v>
      </c>
      <c r="F167" s="6" t="s">
        <v>1387</v>
      </c>
      <c r="G167" s="6"/>
      <c r="H167" s="6">
        <v>100</v>
      </c>
      <c r="I167" s="7" t="s">
        <v>1406</v>
      </c>
      <c r="J167" s="17"/>
    </row>
    <row r="168" spans="1:11" ht="12.75">
      <c r="A168" s="85">
        <v>2.5</v>
      </c>
      <c r="B168" s="85">
        <v>52</v>
      </c>
      <c r="C168" s="85">
        <v>18</v>
      </c>
      <c r="D168" s="85">
        <v>40</v>
      </c>
      <c r="E168" s="85">
        <v>38</v>
      </c>
      <c r="F168" s="6" t="s">
        <v>1387</v>
      </c>
      <c r="G168" s="6"/>
      <c r="H168" s="6">
        <v>100</v>
      </c>
      <c r="I168" s="7" t="s">
        <v>413</v>
      </c>
      <c r="J168" s="135">
        <v>37253</v>
      </c>
      <c r="K168" s="90" t="s">
        <v>414</v>
      </c>
    </row>
    <row r="169" spans="1:11" ht="12.75">
      <c r="A169" s="85">
        <v>2.5</v>
      </c>
      <c r="B169" s="85">
        <v>52.7</v>
      </c>
      <c r="C169" s="85">
        <v>36</v>
      </c>
      <c r="D169" s="85">
        <v>52.7</v>
      </c>
      <c r="E169" s="85">
        <v>19</v>
      </c>
      <c r="F169" s="6" t="s">
        <v>1574</v>
      </c>
      <c r="G169" s="6"/>
      <c r="H169" s="6">
        <v>135</v>
      </c>
      <c r="I169" s="7" t="s">
        <v>510</v>
      </c>
      <c r="J169" s="135">
        <v>37254</v>
      </c>
      <c r="K169" s="90" t="s">
        <v>414</v>
      </c>
    </row>
    <row r="170" spans="1:10" ht="12.75">
      <c r="A170" s="85">
        <v>2.6</v>
      </c>
      <c r="B170" s="85">
        <v>58</v>
      </c>
      <c r="C170" s="85">
        <v>19</v>
      </c>
      <c r="D170" s="85">
        <v>45</v>
      </c>
      <c r="E170" s="85">
        <v>30</v>
      </c>
      <c r="F170" s="6" t="s">
        <v>1387</v>
      </c>
      <c r="G170" s="6"/>
      <c r="H170" s="6">
        <v>100</v>
      </c>
      <c r="I170" s="7" t="s">
        <v>1408</v>
      </c>
      <c r="J170" s="17"/>
    </row>
    <row r="171" spans="1:11" ht="12.75">
      <c r="A171" s="85">
        <v>2.6</v>
      </c>
      <c r="B171" s="85">
        <v>58</v>
      </c>
      <c r="C171" s="85">
        <v>35</v>
      </c>
      <c r="D171" s="85">
        <v>44.5</v>
      </c>
      <c r="E171" s="85">
        <v>20</v>
      </c>
      <c r="F171" s="6" t="s">
        <v>1574</v>
      </c>
      <c r="G171" s="6" t="s">
        <v>1577</v>
      </c>
      <c r="H171" s="6">
        <v>135</v>
      </c>
      <c r="I171" s="7" t="s">
        <v>1408</v>
      </c>
      <c r="J171" s="135">
        <v>37190</v>
      </c>
      <c r="K171" s="90" t="s">
        <v>1410</v>
      </c>
    </row>
    <row r="172" spans="1:11" ht="12.75">
      <c r="A172" s="85">
        <v>2.6</v>
      </c>
      <c r="B172" s="85">
        <v>44.5</v>
      </c>
      <c r="C172" s="85">
        <v>31</v>
      </c>
      <c r="D172" s="85">
        <v>44.5</v>
      </c>
      <c r="E172" s="85">
        <v>31</v>
      </c>
      <c r="F172" s="6" t="s">
        <v>1387</v>
      </c>
      <c r="G172" s="6"/>
      <c r="H172" s="6">
        <v>100</v>
      </c>
      <c r="I172" s="7" t="s">
        <v>1409</v>
      </c>
      <c r="J172" s="135">
        <v>37190</v>
      </c>
      <c r="K172" s="90" t="s">
        <v>1410</v>
      </c>
    </row>
    <row r="173" spans="1:11" ht="12.75">
      <c r="A173" s="85">
        <v>2.6</v>
      </c>
      <c r="B173" s="85">
        <v>44.5</v>
      </c>
      <c r="C173" s="85">
        <v>35.5</v>
      </c>
      <c r="D173" s="85">
        <v>44.5</v>
      </c>
      <c r="E173" s="85">
        <v>18.5</v>
      </c>
      <c r="F173" s="6" t="s">
        <v>1574</v>
      </c>
      <c r="G173" s="6" t="s">
        <v>1577</v>
      </c>
      <c r="H173" s="6">
        <v>135</v>
      </c>
      <c r="I173" s="7" t="s">
        <v>87</v>
      </c>
      <c r="J173" s="135">
        <v>37190</v>
      </c>
      <c r="K173" s="90" t="s">
        <v>1410</v>
      </c>
    </row>
    <row r="174" spans="1:11" ht="12.75">
      <c r="A174" s="85">
        <v>2.6</v>
      </c>
      <c r="B174" s="85">
        <v>44.5</v>
      </c>
      <c r="C174" s="85">
        <v>38.5</v>
      </c>
      <c r="D174" s="85">
        <v>44.5</v>
      </c>
      <c r="E174" s="85">
        <v>14.5</v>
      </c>
      <c r="F174" s="6" t="s">
        <v>1574</v>
      </c>
      <c r="G174" s="6" t="s">
        <v>1577</v>
      </c>
      <c r="H174" s="6">
        <v>130</v>
      </c>
      <c r="I174" s="7" t="s">
        <v>88</v>
      </c>
      <c r="J174" s="135">
        <v>37190</v>
      </c>
      <c r="K174" s="90" t="s">
        <v>1410</v>
      </c>
    </row>
    <row r="175" spans="1:11" ht="12.75">
      <c r="A175" s="85">
        <v>2.6</v>
      </c>
      <c r="B175" s="85">
        <v>56</v>
      </c>
      <c r="C175" s="85">
        <v>25</v>
      </c>
      <c r="D175" s="85">
        <v>62</v>
      </c>
      <c r="E175" s="85">
        <v>31</v>
      </c>
      <c r="F175" s="6" t="s">
        <v>1387</v>
      </c>
      <c r="G175" s="6"/>
      <c r="H175" s="6">
        <v>100</v>
      </c>
      <c r="I175" s="7" t="s">
        <v>415</v>
      </c>
      <c r="J175" s="135">
        <v>37253</v>
      </c>
      <c r="K175" s="90" t="s">
        <v>414</v>
      </c>
    </row>
    <row r="176" spans="1:10" ht="12.75">
      <c r="A176" s="85">
        <v>2.6</v>
      </c>
      <c r="B176" s="85">
        <v>63.5</v>
      </c>
      <c r="C176" s="85">
        <v>31.75</v>
      </c>
      <c r="D176" s="85">
        <v>53.975</v>
      </c>
      <c r="E176" s="85">
        <v>26.9748</v>
      </c>
      <c r="F176" s="6" t="s">
        <v>1574</v>
      </c>
      <c r="G176" s="6">
        <v>1</v>
      </c>
      <c r="H176" s="6"/>
      <c r="I176" s="7" t="s">
        <v>89</v>
      </c>
      <c r="J176" s="17"/>
    </row>
    <row r="177" spans="1:11" ht="12.75">
      <c r="A177" s="85">
        <v>2.6</v>
      </c>
      <c r="B177" s="85">
        <v>51</v>
      </c>
      <c r="C177" s="85">
        <v>19</v>
      </c>
      <c r="D177" s="85">
        <v>39.5</v>
      </c>
      <c r="E177" s="85">
        <v>34</v>
      </c>
      <c r="F177" s="6" t="s">
        <v>1387</v>
      </c>
      <c r="G177" s="6"/>
      <c r="H177" s="6">
        <v>100</v>
      </c>
      <c r="I177" s="7" t="s">
        <v>417</v>
      </c>
      <c r="J177" s="135">
        <v>37253</v>
      </c>
      <c r="K177" s="90" t="s">
        <v>414</v>
      </c>
    </row>
    <row r="178" spans="1:11" ht="12.75">
      <c r="A178" s="85">
        <v>2.6</v>
      </c>
      <c r="B178" s="85">
        <v>51</v>
      </c>
      <c r="C178" s="85">
        <v>30</v>
      </c>
      <c r="D178" s="85">
        <v>42</v>
      </c>
      <c r="E178" s="85">
        <v>17</v>
      </c>
      <c r="F178" s="6" t="s">
        <v>1574</v>
      </c>
      <c r="G178" s="6"/>
      <c r="H178" s="6">
        <v>135</v>
      </c>
      <c r="I178" s="7" t="s">
        <v>417</v>
      </c>
      <c r="J178" s="135">
        <v>37254</v>
      </c>
      <c r="K178" s="90" t="s">
        <v>414</v>
      </c>
    </row>
    <row r="179" spans="1:11" ht="12.75">
      <c r="A179" s="85">
        <v>2.6</v>
      </c>
      <c r="B179" s="85">
        <v>55</v>
      </c>
      <c r="C179" s="85">
        <v>35</v>
      </c>
      <c r="D179" s="85">
        <v>55</v>
      </c>
      <c r="E179" s="85">
        <v>35</v>
      </c>
      <c r="F179" s="6" t="s">
        <v>1387</v>
      </c>
      <c r="G179" s="6"/>
      <c r="H179" s="6">
        <v>100</v>
      </c>
      <c r="I179" s="7" t="s">
        <v>416</v>
      </c>
      <c r="J179" s="135">
        <v>37253</v>
      </c>
      <c r="K179" s="90" t="s">
        <v>414</v>
      </c>
    </row>
    <row r="180" spans="1:11" ht="12.75">
      <c r="A180" s="85">
        <v>2.6</v>
      </c>
      <c r="B180" s="85">
        <v>55</v>
      </c>
      <c r="C180" s="85">
        <v>35</v>
      </c>
      <c r="D180" s="85">
        <v>45</v>
      </c>
      <c r="E180" s="85">
        <v>20</v>
      </c>
      <c r="F180" s="6" t="s">
        <v>1574</v>
      </c>
      <c r="G180" s="6"/>
      <c r="H180" s="6">
        <v>135</v>
      </c>
      <c r="I180" s="7" t="s">
        <v>416</v>
      </c>
      <c r="J180" s="135">
        <v>37254</v>
      </c>
      <c r="K180" s="90" t="s">
        <v>414</v>
      </c>
    </row>
    <row r="181" spans="1:11" ht="12.75">
      <c r="A181" s="85">
        <v>2.6</v>
      </c>
      <c r="B181" s="85">
        <v>58</v>
      </c>
      <c r="C181" s="85">
        <v>34.5</v>
      </c>
      <c r="D181" s="85">
        <v>58</v>
      </c>
      <c r="E181" s="85">
        <v>34.5</v>
      </c>
      <c r="F181" s="6" t="s">
        <v>1574</v>
      </c>
      <c r="G181" s="6"/>
      <c r="H181" s="6">
        <v>165</v>
      </c>
      <c r="I181" s="7" t="s">
        <v>511</v>
      </c>
      <c r="J181" s="135">
        <v>37254</v>
      </c>
      <c r="K181" s="90" t="s">
        <v>414</v>
      </c>
    </row>
    <row r="182" spans="1:11" ht="12.75">
      <c r="A182" s="85">
        <v>2.5</v>
      </c>
      <c r="B182" s="85">
        <v>36</v>
      </c>
      <c r="C182" s="85">
        <v>35</v>
      </c>
      <c r="D182" s="85">
        <v>36</v>
      </c>
      <c r="E182" s="85">
        <v>35</v>
      </c>
      <c r="F182" s="6" t="s">
        <v>1387</v>
      </c>
      <c r="G182" s="6"/>
      <c r="H182" s="6">
        <v>100</v>
      </c>
      <c r="I182" s="7" t="s">
        <v>419</v>
      </c>
      <c r="J182" s="135">
        <v>37253</v>
      </c>
      <c r="K182" s="90" t="s">
        <v>414</v>
      </c>
    </row>
    <row r="183" spans="1:11" ht="12.75">
      <c r="A183" s="85">
        <v>2.5</v>
      </c>
      <c r="B183" s="85">
        <v>45</v>
      </c>
      <c r="C183" s="85">
        <v>37.7</v>
      </c>
      <c r="D183" s="85">
        <v>45</v>
      </c>
      <c r="E183" s="85">
        <v>16.7</v>
      </c>
      <c r="F183" s="6" t="s">
        <v>1574</v>
      </c>
      <c r="G183" s="6"/>
      <c r="H183" s="6">
        <v>130</v>
      </c>
      <c r="I183" s="7" t="s">
        <v>419</v>
      </c>
      <c r="J183" s="135">
        <v>37254</v>
      </c>
      <c r="K183" s="90" t="s">
        <v>414</v>
      </c>
    </row>
    <row r="184" spans="1:11" ht="12.75">
      <c r="A184" s="85">
        <v>2.5</v>
      </c>
      <c r="B184" s="85">
        <v>45</v>
      </c>
      <c r="C184" s="85">
        <v>35.2</v>
      </c>
      <c r="D184" s="85">
        <v>45</v>
      </c>
      <c r="E184" s="85">
        <v>19.2</v>
      </c>
      <c r="F184" s="6" t="s">
        <v>1574</v>
      </c>
      <c r="G184" s="6"/>
      <c r="H184" s="6">
        <v>135</v>
      </c>
      <c r="I184" s="7" t="s">
        <v>419</v>
      </c>
      <c r="J184" s="135">
        <v>37254</v>
      </c>
      <c r="K184" s="90" t="s">
        <v>414</v>
      </c>
    </row>
    <row r="185" spans="1:11" ht="12.75">
      <c r="A185" s="85">
        <v>2.6</v>
      </c>
      <c r="B185" s="85">
        <v>38</v>
      </c>
      <c r="C185" s="85">
        <v>35</v>
      </c>
      <c r="D185" s="85">
        <v>38</v>
      </c>
      <c r="E185" s="85">
        <v>35</v>
      </c>
      <c r="F185" s="6" t="s">
        <v>1387</v>
      </c>
      <c r="G185" s="6"/>
      <c r="H185" s="6">
        <v>100</v>
      </c>
      <c r="I185" s="7" t="s">
        <v>420</v>
      </c>
      <c r="J185" s="135">
        <v>37253</v>
      </c>
      <c r="K185" s="90" t="s">
        <v>414</v>
      </c>
    </row>
    <row r="186" spans="1:10" ht="12.75">
      <c r="A186" s="85">
        <v>2.4</v>
      </c>
      <c r="B186" s="85">
        <v>39</v>
      </c>
      <c r="C186" s="85">
        <v>37.2</v>
      </c>
      <c r="D186" s="85">
        <v>39</v>
      </c>
      <c r="E186" s="85">
        <v>37.2</v>
      </c>
      <c r="F186" s="6" t="s">
        <v>1387</v>
      </c>
      <c r="G186" s="6"/>
      <c r="H186" s="6">
        <v>100</v>
      </c>
      <c r="I186" s="3" t="s">
        <v>1411</v>
      </c>
      <c r="J186" s="17"/>
    </row>
    <row r="187" spans="1:11" ht="12.75">
      <c r="A187" s="85">
        <v>2.4</v>
      </c>
      <c r="B187" s="85">
        <v>41</v>
      </c>
      <c r="C187" s="85">
        <v>36</v>
      </c>
      <c r="D187" s="85">
        <v>41</v>
      </c>
      <c r="E187" s="85">
        <v>36</v>
      </c>
      <c r="F187" s="6" t="s">
        <v>1387</v>
      </c>
      <c r="G187" s="6"/>
      <c r="H187" s="6">
        <v>100</v>
      </c>
      <c r="I187" s="3" t="s">
        <v>161</v>
      </c>
      <c r="J187" s="135">
        <v>37539</v>
      </c>
      <c r="K187" s="90" t="s">
        <v>162</v>
      </c>
    </row>
    <row r="188" spans="1:11" ht="12.75">
      <c r="A188" s="85">
        <v>2.5</v>
      </c>
      <c r="B188" s="85">
        <v>58</v>
      </c>
      <c r="C188" s="85">
        <v>23</v>
      </c>
      <c r="D188" s="85">
        <v>52</v>
      </c>
      <c r="E188" s="85">
        <v>34.7</v>
      </c>
      <c r="F188" s="6" t="s">
        <v>1387</v>
      </c>
      <c r="G188" s="6"/>
      <c r="H188" s="6">
        <v>100</v>
      </c>
      <c r="I188" s="3" t="s">
        <v>429</v>
      </c>
      <c r="J188" s="135">
        <v>37253</v>
      </c>
      <c r="K188" s="90" t="s">
        <v>414</v>
      </c>
    </row>
    <row r="189" spans="1:11" ht="12.75">
      <c r="A189" s="85">
        <v>2.5</v>
      </c>
      <c r="B189" s="85">
        <v>58</v>
      </c>
      <c r="C189" s="85">
        <v>33.25</v>
      </c>
      <c r="D189" s="85">
        <v>52</v>
      </c>
      <c r="E189" s="85">
        <v>20</v>
      </c>
      <c r="F189" s="6" t="s">
        <v>1574</v>
      </c>
      <c r="G189" s="6"/>
      <c r="H189" s="6">
        <v>135</v>
      </c>
      <c r="I189" s="7" t="s">
        <v>519</v>
      </c>
      <c r="J189" s="135">
        <v>37254</v>
      </c>
      <c r="K189" s="90" t="s">
        <v>414</v>
      </c>
    </row>
    <row r="190" spans="1:11" ht="12.75">
      <c r="A190" s="85">
        <v>2.4</v>
      </c>
      <c r="B190" s="85">
        <v>36</v>
      </c>
      <c r="C190" s="85">
        <v>34.95</v>
      </c>
      <c r="D190" s="85">
        <v>36</v>
      </c>
      <c r="E190" s="85">
        <v>34.95</v>
      </c>
      <c r="F190" s="6" t="s">
        <v>1387</v>
      </c>
      <c r="G190" s="6"/>
      <c r="H190" s="6">
        <v>100</v>
      </c>
      <c r="I190" s="3" t="s">
        <v>90</v>
      </c>
      <c r="J190" s="135">
        <v>37253</v>
      </c>
      <c r="K190" s="90" t="s">
        <v>414</v>
      </c>
    </row>
    <row r="191" spans="1:11" ht="12.75">
      <c r="A191" s="85">
        <v>2.4</v>
      </c>
      <c r="B191" s="85">
        <v>45</v>
      </c>
      <c r="C191" s="85">
        <v>37.7</v>
      </c>
      <c r="D191" s="85">
        <v>45</v>
      </c>
      <c r="E191" s="85">
        <v>16.7</v>
      </c>
      <c r="F191" s="6" t="s">
        <v>1574</v>
      </c>
      <c r="G191" s="6"/>
      <c r="H191" s="6">
        <v>130</v>
      </c>
      <c r="I191" s="3" t="s">
        <v>90</v>
      </c>
      <c r="J191" s="135">
        <v>37254</v>
      </c>
      <c r="K191" s="90" t="s">
        <v>414</v>
      </c>
    </row>
    <row r="192" spans="1:11" ht="12.75">
      <c r="A192" s="85">
        <v>2.4</v>
      </c>
      <c r="B192" s="85">
        <v>45</v>
      </c>
      <c r="C192" s="85">
        <v>35.2</v>
      </c>
      <c r="D192" s="85">
        <v>45</v>
      </c>
      <c r="E192" s="85">
        <v>19.2</v>
      </c>
      <c r="F192" s="6" t="s">
        <v>1574</v>
      </c>
      <c r="G192" s="6"/>
      <c r="H192" s="6">
        <v>135</v>
      </c>
      <c r="I192" s="3" t="s">
        <v>90</v>
      </c>
      <c r="J192" s="135">
        <v>37254</v>
      </c>
      <c r="K192" s="90" t="s">
        <v>414</v>
      </c>
    </row>
    <row r="193" spans="1:11" ht="12.75">
      <c r="A193" s="85">
        <v>2.4</v>
      </c>
      <c r="B193" s="85">
        <v>45</v>
      </c>
      <c r="C193" s="85">
        <v>29.8</v>
      </c>
      <c r="D193" s="85">
        <v>45</v>
      </c>
      <c r="E193" s="85">
        <v>16.1</v>
      </c>
      <c r="F193" s="6" t="s">
        <v>1574</v>
      </c>
      <c r="G193" s="6"/>
      <c r="H193" s="6">
        <v>130</v>
      </c>
      <c r="I193" s="3" t="s">
        <v>512</v>
      </c>
      <c r="J193" s="135">
        <v>37254</v>
      </c>
      <c r="K193" s="90" t="s">
        <v>414</v>
      </c>
    </row>
    <row r="194" spans="1:11" ht="12.75">
      <c r="A194" s="85">
        <v>2.5</v>
      </c>
      <c r="B194" s="85">
        <v>58</v>
      </c>
      <c r="C194" s="85">
        <v>22</v>
      </c>
      <c r="D194" s="85">
        <v>46</v>
      </c>
      <c r="E194" s="85">
        <v>34.8</v>
      </c>
      <c r="F194" s="6" t="s">
        <v>1387</v>
      </c>
      <c r="G194" s="6"/>
      <c r="H194" s="6">
        <v>100</v>
      </c>
      <c r="I194" s="3" t="s">
        <v>421</v>
      </c>
      <c r="J194" s="135">
        <v>37253</v>
      </c>
      <c r="K194" s="90" t="s">
        <v>414</v>
      </c>
    </row>
    <row r="195" spans="1:11" ht="12.75">
      <c r="A195" s="85">
        <v>2.5</v>
      </c>
      <c r="B195" s="85">
        <v>58</v>
      </c>
      <c r="C195" s="85">
        <v>33.5</v>
      </c>
      <c r="D195" s="85">
        <v>46</v>
      </c>
      <c r="E195" s="85">
        <v>19.2</v>
      </c>
      <c r="F195" s="6" t="s">
        <v>1574</v>
      </c>
      <c r="G195" s="6"/>
      <c r="H195" s="6">
        <v>135</v>
      </c>
      <c r="I195" s="3" t="s">
        <v>421</v>
      </c>
      <c r="J195" s="135">
        <v>37254</v>
      </c>
      <c r="K195" s="90" t="s">
        <v>414</v>
      </c>
    </row>
    <row r="196" spans="1:11" ht="12.75">
      <c r="A196" s="85">
        <v>2.6</v>
      </c>
      <c r="B196" s="85">
        <v>58</v>
      </c>
      <c r="C196" s="85">
        <v>33.5</v>
      </c>
      <c r="D196" s="85">
        <v>46.5</v>
      </c>
      <c r="E196" s="85">
        <v>19.2</v>
      </c>
      <c r="F196" s="6" t="s">
        <v>1574</v>
      </c>
      <c r="G196" s="6"/>
      <c r="H196" s="6">
        <v>135</v>
      </c>
      <c r="I196" s="3" t="s">
        <v>514</v>
      </c>
      <c r="J196" s="135">
        <v>37254</v>
      </c>
      <c r="K196" s="90" t="s">
        <v>414</v>
      </c>
    </row>
    <row r="197" spans="1:11" ht="12.75">
      <c r="A197" s="85">
        <v>2.6</v>
      </c>
      <c r="B197" s="85">
        <v>58.5</v>
      </c>
      <c r="C197" s="85">
        <v>25.8</v>
      </c>
      <c r="D197" s="85">
        <v>58.5</v>
      </c>
      <c r="E197" s="85">
        <v>25.8</v>
      </c>
      <c r="F197" s="6" t="s">
        <v>1574</v>
      </c>
      <c r="G197" s="6"/>
      <c r="H197" s="6">
        <v>150</v>
      </c>
      <c r="I197" s="3" t="s">
        <v>517</v>
      </c>
      <c r="J197" s="135">
        <v>37254</v>
      </c>
      <c r="K197" s="90" t="s">
        <v>414</v>
      </c>
    </row>
    <row r="198" spans="1:11" ht="12.75">
      <c r="A198" s="85">
        <v>2.6</v>
      </c>
      <c r="B198" s="85">
        <v>58.5</v>
      </c>
      <c r="C198" s="85">
        <v>33.3</v>
      </c>
      <c r="D198" s="85">
        <v>58.5</v>
      </c>
      <c r="E198" s="85">
        <v>33.3</v>
      </c>
      <c r="F198" s="6" t="s">
        <v>1574</v>
      </c>
      <c r="G198" s="6"/>
      <c r="H198" s="6">
        <v>165</v>
      </c>
      <c r="I198" s="3" t="s">
        <v>517</v>
      </c>
      <c r="J198" s="135">
        <v>37254</v>
      </c>
      <c r="K198" s="90" t="s">
        <v>414</v>
      </c>
    </row>
    <row r="199" spans="1:11" ht="12.75">
      <c r="A199" s="85">
        <v>2.4</v>
      </c>
      <c r="B199" s="85">
        <v>45</v>
      </c>
      <c r="C199" s="85">
        <v>29.8</v>
      </c>
      <c r="D199" s="85">
        <v>45</v>
      </c>
      <c r="E199" s="85">
        <v>16.1</v>
      </c>
      <c r="F199" s="6" t="s">
        <v>1574</v>
      </c>
      <c r="G199" s="6"/>
      <c r="H199" s="6">
        <v>130</v>
      </c>
      <c r="I199" s="3" t="s">
        <v>513</v>
      </c>
      <c r="J199" s="135">
        <v>37254</v>
      </c>
      <c r="K199" s="90" t="s">
        <v>414</v>
      </c>
    </row>
    <row r="200" spans="1:11" ht="12.75">
      <c r="A200" s="85">
        <v>2.3</v>
      </c>
      <c r="B200" s="85">
        <v>45.5</v>
      </c>
      <c r="C200" s="85">
        <v>39.45</v>
      </c>
      <c r="D200" s="85">
        <v>45.5</v>
      </c>
      <c r="E200" s="85">
        <v>17.95</v>
      </c>
      <c r="F200" s="6" t="s">
        <v>1574</v>
      </c>
      <c r="G200" s="6"/>
      <c r="H200" s="6">
        <v>130</v>
      </c>
      <c r="I200" s="3" t="s">
        <v>520</v>
      </c>
      <c r="J200" s="135">
        <v>37254</v>
      </c>
      <c r="K200" s="90" t="s">
        <v>414</v>
      </c>
    </row>
    <row r="201" spans="1:11" ht="12.75">
      <c r="A201" s="85">
        <v>2.3</v>
      </c>
      <c r="B201" s="85">
        <v>45.5</v>
      </c>
      <c r="C201" s="85">
        <v>37.4</v>
      </c>
      <c r="D201" s="85">
        <v>45.5</v>
      </c>
      <c r="E201" s="85">
        <v>20.05</v>
      </c>
      <c r="F201" s="6" t="s">
        <v>1574</v>
      </c>
      <c r="G201" s="6"/>
      <c r="H201" s="6">
        <v>135</v>
      </c>
      <c r="I201" s="3" t="s">
        <v>520</v>
      </c>
      <c r="J201" s="135">
        <v>37254</v>
      </c>
      <c r="K201" s="90" t="s">
        <v>414</v>
      </c>
    </row>
    <row r="202" spans="1:11" ht="12.75">
      <c r="A202" s="85">
        <v>2.3</v>
      </c>
      <c r="B202" s="85">
        <v>41</v>
      </c>
      <c r="C202" s="85">
        <v>35</v>
      </c>
      <c r="D202" s="85">
        <v>41</v>
      </c>
      <c r="E202" s="85">
        <v>35</v>
      </c>
      <c r="F202" s="6" t="s">
        <v>1387</v>
      </c>
      <c r="G202" s="6"/>
      <c r="H202" s="6">
        <v>100</v>
      </c>
      <c r="I202" s="3" t="s">
        <v>430</v>
      </c>
      <c r="J202" s="135">
        <v>37253</v>
      </c>
      <c r="K202" s="90" t="s">
        <v>414</v>
      </c>
    </row>
    <row r="203" spans="1:11" ht="12.75">
      <c r="A203" s="85">
        <v>2.3</v>
      </c>
      <c r="B203" s="85">
        <v>39</v>
      </c>
      <c r="C203" s="85">
        <v>34.5</v>
      </c>
      <c r="D203" s="85">
        <v>39</v>
      </c>
      <c r="E203" s="85">
        <v>34.5</v>
      </c>
      <c r="F203" s="6" t="s">
        <v>1387</v>
      </c>
      <c r="G203" s="6"/>
      <c r="H203" s="6">
        <v>100</v>
      </c>
      <c r="I203" s="3" t="s">
        <v>431</v>
      </c>
      <c r="J203" s="135">
        <v>37253</v>
      </c>
      <c r="K203" s="90" t="s">
        <v>414</v>
      </c>
    </row>
    <row r="204" spans="1:11" ht="12.75">
      <c r="A204" s="85">
        <v>2.3</v>
      </c>
      <c r="B204" s="85">
        <v>41</v>
      </c>
      <c r="C204" s="85">
        <v>35</v>
      </c>
      <c r="D204" s="85">
        <v>41</v>
      </c>
      <c r="E204" s="85">
        <v>35</v>
      </c>
      <c r="F204" s="6" t="s">
        <v>1387</v>
      </c>
      <c r="G204" s="6"/>
      <c r="H204" s="6">
        <v>100</v>
      </c>
      <c r="I204" s="3" t="s">
        <v>432</v>
      </c>
      <c r="J204" s="135">
        <v>37253</v>
      </c>
      <c r="K204" s="90" t="s">
        <v>414</v>
      </c>
    </row>
    <row r="205" spans="1:11" ht="12.75">
      <c r="A205" s="85">
        <v>2.3</v>
      </c>
      <c r="B205" s="85">
        <v>45.5</v>
      </c>
      <c r="C205" s="85">
        <v>39.9</v>
      </c>
      <c r="D205" s="85">
        <v>45.5</v>
      </c>
      <c r="E205" s="85">
        <v>17.55</v>
      </c>
      <c r="F205" s="6" t="s">
        <v>1574</v>
      </c>
      <c r="G205" s="6"/>
      <c r="H205" s="6">
        <v>130</v>
      </c>
      <c r="I205" s="3" t="s">
        <v>432</v>
      </c>
      <c r="J205" s="135">
        <v>37254</v>
      </c>
      <c r="K205" s="90" t="s">
        <v>414</v>
      </c>
    </row>
    <row r="206" spans="1:11" ht="12.75">
      <c r="A206" s="85">
        <v>2.3</v>
      </c>
      <c r="B206" s="85">
        <v>45.5</v>
      </c>
      <c r="C206" s="85">
        <v>37.3</v>
      </c>
      <c r="D206" s="85">
        <v>45.5</v>
      </c>
      <c r="E206" s="85">
        <v>20.15</v>
      </c>
      <c r="F206" s="6" t="s">
        <v>1574</v>
      </c>
      <c r="G206" s="6"/>
      <c r="H206" s="6">
        <v>135</v>
      </c>
      <c r="I206" s="3" t="s">
        <v>432</v>
      </c>
      <c r="J206" s="135">
        <v>37254</v>
      </c>
      <c r="K206" s="90" t="s">
        <v>414</v>
      </c>
    </row>
    <row r="207" spans="1:11" ht="12.75">
      <c r="A207" s="85">
        <v>2.3</v>
      </c>
      <c r="B207" s="85">
        <v>46</v>
      </c>
      <c r="C207" s="85">
        <v>33.65</v>
      </c>
      <c r="D207" s="85">
        <v>46</v>
      </c>
      <c r="E207" s="85">
        <v>16.4</v>
      </c>
      <c r="F207" s="6" t="s">
        <v>1574</v>
      </c>
      <c r="G207" s="6"/>
      <c r="H207" s="6">
        <v>130</v>
      </c>
      <c r="I207" s="3" t="s">
        <v>521</v>
      </c>
      <c r="J207" s="135">
        <v>37254</v>
      </c>
      <c r="K207" s="90" t="s">
        <v>414</v>
      </c>
    </row>
    <row r="208" spans="1:11" ht="12.75">
      <c r="A208" s="85">
        <v>2.5</v>
      </c>
      <c r="B208" s="85">
        <v>52.5</v>
      </c>
      <c r="C208" s="85">
        <v>16.95</v>
      </c>
      <c r="D208" s="85">
        <v>46</v>
      </c>
      <c r="E208" s="85">
        <v>35.1</v>
      </c>
      <c r="F208" s="6" t="s">
        <v>1387</v>
      </c>
      <c r="G208" s="6"/>
      <c r="H208" s="6">
        <v>100</v>
      </c>
      <c r="I208" s="3" t="s">
        <v>440</v>
      </c>
      <c r="J208" s="135">
        <v>37253</v>
      </c>
      <c r="K208" s="90" t="s">
        <v>414</v>
      </c>
    </row>
    <row r="209" spans="1:11" ht="12.75">
      <c r="A209" s="85">
        <v>2.5</v>
      </c>
      <c r="B209" s="85">
        <v>52.5</v>
      </c>
      <c r="C209" s="85">
        <v>33.4</v>
      </c>
      <c r="D209" s="85">
        <v>46</v>
      </c>
      <c r="E209" s="85">
        <v>19.65</v>
      </c>
      <c r="F209" s="6" t="s">
        <v>1574</v>
      </c>
      <c r="G209" s="6" t="s">
        <v>1577</v>
      </c>
      <c r="H209" s="6">
        <v>135</v>
      </c>
      <c r="I209" s="3" t="s">
        <v>526</v>
      </c>
      <c r="J209" s="135">
        <v>37254</v>
      </c>
      <c r="K209" s="90" t="s">
        <v>414</v>
      </c>
    </row>
    <row r="210" spans="1:11" ht="12.75">
      <c r="A210" s="85">
        <v>2.6</v>
      </c>
      <c r="B210" s="85">
        <v>58</v>
      </c>
      <c r="C210" s="85">
        <v>22</v>
      </c>
      <c r="D210" s="85">
        <v>52</v>
      </c>
      <c r="E210" s="85">
        <v>30.2</v>
      </c>
      <c r="F210" s="6" t="s">
        <v>1387</v>
      </c>
      <c r="G210" s="6"/>
      <c r="H210" s="6">
        <v>100</v>
      </c>
      <c r="I210" s="3" t="s">
        <v>422</v>
      </c>
      <c r="J210" s="135">
        <v>37253</v>
      </c>
      <c r="K210" s="90" t="s">
        <v>414</v>
      </c>
    </row>
    <row r="211" spans="1:11" ht="12.75">
      <c r="A211" s="85">
        <v>2.6</v>
      </c>
      <c r="B211" s="85">
        <v>58</v>
      </c>
      <c r="C211" s="85">
        <v>22</v>
      </c>
      <c r="D211" s="85">
        <v>52</v>
      </c>
      <c r="E211" s="85">
        <v>30.2</v>
      </c>
      <c r="F211" s="6" t="s">
        <v>1387</v>
      </c>
      <c r="G211" s="6"/>
      <c r="H211" s="6">
        <v>110</v>
      </c>
      <c r="I211" s="3" t="s">
        <v>422</v>
      </c>
      <c r="J211" s="135">
        <v>37253</v>
      </c>
      <c r="K211" s="90" t="s">
        <v>414</v>
      </c>
    </row>
    <row r="212" spans="1:11" ht="12.75">
      <c r="A212" s="85">
        <v>2.8</v>
      </c>
      <c r="B212" s="85">
        <v>60</v>
      </c>
      <c r="C212" s="85">
        <v>36.3</v>
      </c>
      <c r="D212" s="85">
        <v>61</v>
      </c>
      <c r="E212" s="85">
        <v>18.95</v>
      </c>
      <c r="F212" s="6" t="s">
        <v>1574</v>
      </c>
      <c r="G212" s="6"/>
      <c r="H212" s="6">
        <v>135</v>
      </c>
      <c r="I212" s="3" t="s">
        <v>524</v>
      </c>
      <c r="J212" s="135">
        <v>37254</v>
      </c>
      <c r="K212" s="90" t="s">
        <v>414</v>
      </c>
    </row>
    <row r="213" spans="1:11" ht="12.75">
      <c r="A213" s="85">
        <v>2.8</v>
      </c>
      <c r="B213" s="85">
        <v>60</v>
      </c>
      <c r="C213" s="85">
        <v>33</v>
      </c>
      <c r="D213" s="85">
        <v>61</v>
      </c>
      <c r="E213" s="85">
        <v>21</v>
      </c>
      <c r="F213" s="6" t="s">
        <v>1574</v>
      </c>
      <c r="G213" s="6"/>
      <c r="H213" s="6">
        <v>140</v>
      </c>
      <c r="I213" s="3" t="s">
        <v>524</v>
      </c>
      <c r="J213" s="135">
        <v>37254</v>
      </c>
      <c r="K213" s="90" t="s">
        <v>414</v>
      </c>
    </row>
    <row r="214" spans="1:11" ht="12.75">
      <c r="A214" s="85">
        <v>2.8</v>
      </c>
      <c r="B214" s="85">
        <v>60</v>
      </c>
      <c r="C214" s="85">
        <v>23.65</v>
      </c>
      <c r="D214" s="85">
        <v>61</v>
      </c>
      <c r="E214" s="85">
        <v>34.85</v>
      </c>
      <c r="F214" s="6" t="s">
        <v>1387</v>
      </c>
      <c r="G214" s="6"/>
      <c r="H214" s="6">
        <v>100</v>
      </c>
      <c r="I214" s="3" t="s">
        <v>435</v>
      </c>
      <c r="J214" s="135">
        <v>37253</v>
      </c>
      <c r="K214" s="90" t="s">
        <v>414</v>
      </c>
    </row>
    <row r="215" spans="1:11" ht="12.75">
      <c r="A215" s="85">
        <v>2.8</v>
      </c>
      <c r="B215" s="85">
        <v>60</v>
      </c>
      <c r="C215" s="85">
        <v>26.6</v>
      </c>
      <c r="D215" s="85">
        <v>61</v>
      </c>
      <c r="E215" s="85">
        <v>29.7</v>
      </c>
      <c r="F215" s="6" t="s">
        <v>1387</v>
      </c>
      <c r="G215" s="6"/>
      <c r="H215" s="6">
        <v>110</v>
      </c>
      <c r="I215" s="3" t="s">
        <v>436</v>
      </c>
      <c r="J215" s="135">
        <v>37253</v>
      </c>
      <c r="K215" s="90" t="s">
        <v>414</v>
      </c>
    </row>
    <row r="216" spans="1:11" ht="12.75">
      <c r="A216" s="85">
        <v>2.5</v>
      </c>
      <c r="B216" s="85">
        <v>58</v>
      </c>
      <c r="C216" s="85">
        <v>23.1</v>
      </c>
      <c r="D216" s="85">
        <v>46</v>
      </c>
      <c r="E216" s="85">
        <v>34.4</v>
      </c>
      <c r="F216" s="6" t="s">
        <v>1387</v>
      </c>
      <c r="G216" s="6"/>
      <c r="H216" s="6">
        <v>100</v>
      </c>
      <c r="I216" s="3" t="s">
        <v>438</v>
      </c>
      <c r="J216" s="135">
        <v>37253</v>
      </c>
      <c r="K216" s="90" t="s">
        <v>414</v>
      </c>
    </row>
    <row r="217" spans="1:11" ht="12.75">
      <c r="A217" s="85">
        <v>2.5</v>
      </c>
      <c r="B217" s="85">
        <v>58</v>
      </c>
      <c r="C217" s="85">
        <v>22.8</v>
      </c>
      <c r="D217" s="85">
        <v>58</v>
      </c>
      <c r="E217" s="85">
        <v>31.5</v>
      </c>
      <c r="F217" s="6" t="s">
        <v>1387</v>
      </c>
      <c r="G217" s="6"/>
      <c r="H217" s="6">
        <v>110</v>
      </c>
      <c r="I217" s="3" t="s">
        <v>439</v>
      </c>
      <c r="J217" s="135">
        <v>37253</v>
      </c>
      <c r="K217" s="90" t="s">
        <v>414</v>
      </c>
    </row>
    <row r="218" spans="1:11" ht="12.75">
      <c r="A218" s="85">
        <v>2.5</v>
      </c>
      <c r="B218" s="85">
        <v>58</v>
      </c>
      <c r="C218" s="85">
        <v>33.25</v>
      </c>
      <c r="D218" s="85">
        <v>46</v>
      </c>
      <c r="E218" s="85">
        <v>19.75</v>
      </c>
      <c r="F218" s="6" t="s">
        <v>1574</v>
      </c>
      <c r="G218" s="6" t="s">
        <v>1577</v>
      </c>
      <c r="H218" s="6">
        <v>135</v>
      </c>
      <c r="I218" s="3" t="s">
        <v>525</v>
      </c>
      <c r="J218" s="135">
        <v>37254</v>
      </c>
      <c r="K218" s="90" t="s">
        <v>414</v>
      </c>
    </row>
    <row r="219" spans="1:11" ht="12.75">
      <c r="A219" s="85">
        <v>2.5</v>
      </c>
      <c r="B219" s="85">
        <v>58</v>
      </c>
      <c r="C219" s="85">
        <v>39</v>
      </c>
      <c r="D219" s="85">
        <v>47</v>
      </c>
      <c r="E219" s="85">
        <v>19.65</v>
      </c>
      <c r="F219" s="6" t="s">
        <v>1574</v>
      </c>
      <c r="G219" s="6"/>
      <c r="H219" s="6">
        <v>135</v>
      </c>
      <c r="I219" s="3" t="s">
        <v>523</v>
      </c>
      <c r="J219" s="135">
        <v>37254</v>
      </c>
      <c r="K219" s="90" t="s">
        <v>414</v>
      </c>
    </row>
    <row r="220" spans="1:11" ht="12.75">
      <c r="A220" s="85">
        <v>2.5</v>
      </c>
      <c r="B220" s="85">
        <v>58</v>
      </c>
      <c r="C220" s="85">
        <v>23.9</v>
      </c>
      <c r="D220" s="85">
        <v>47</v>
      </c>
      <c r="E220" s="85">
        <v>35.6</v>
      </c>
      <c r="F220" s="6" t="s">
        <v>1387</v>
      </c>
      <c r="G220" s="6"/>
      <c r="H220" s="6">
        <v>100</v>
      </c>
      <c r="I220" s="3" t="s">
        <v>434</v>
      </c>
      <c r="J220" s="135">
        <v>37253</v>
      </c>
      <c r="K220" s="90" t="s">
        <v>414</v>
      </c>
    </row>
    <row r="221" spans="1:10" ht="12.75">
      <c r="A221" s="85">
        <v>2.8</v>
      </c>
      <c r="B221" s="85">
        <v>60</v>
      </c>
      <c r="C221" s="85">
        <v>36.3</v>
      </c>
      <c r="D221" s="85">
        <v>61</v>
      </c>
      <c r="E221" s="85">
        <v>18.95</v>
      </c>
      <c r="F221" s="6" t="s">
        <v>1574</v>
      </c>
      <c r="G221" s="6" t="s">
        <v>1577</v>
      </c>
      <c r="H221" s="6">
        <v>135</v>
      </c>
      <c r="I221" s="3" t="s">
        <v>91</v>
      </c>
      <c r="J221" s="17"/>
    </row>
    <row r="222" spans="1:10" ht="12.75">
      <c r="A222" s="85">
        <v>2.5</v>
      </c>
      <c r="B222" s="85">
        <v>58</v>
      </c>
      <c r="C222" s="85">
        <v>39</v>
      </c>
      <c r="D222" s="85">
        <v>47</v>
      </c>
      <c r="E222" s="85">
        <v>19.65</v>
      </c>
      <c r="F222" s="6" t="s">
        <v>1574</v>
      </c>
      <c r="G222" s="6" t="s">
        <v>1577</v>
      </c>
      <c r="H222" s="6">
        <v>135</v>
      </c>
      <c r="I222" s="3" t="s">
        <v>92</v>
      </c>
      <c r="J222" s="17"/>
    </row>
    <row r="223" spans="1:10" ht="12.75">
      <c r="A223" s="85">
        <v>2.3</v>
      </c>
      <c r="B223" s="85">
        <v>45</v>
      </c>
      <c r="C223" s="85">
        <v>35</v>
      </c>
      <c r="D223" s="85">
        <v>45</v>
      </c>
      <c r="E223" s="85">
        <v>20.15</v>
      </c>
      <c r="F223" s="6" t="s">
        <v>1574</v>
      </c>
      <c r="G223" s="6"/>
      <c r="H223" s="6">
        <v>135</v>
      </c>
      <c r="I223" s="3" t="s">
        <v>93</v>
      </c>
      <c r="J223" s="17"/>
    </row>
    <row r="224" spans="1:10" ht="12.75">
      <c r="A224" s="85">
        <v>2.3</v>
      </c>
      <c r="B224" s="85">
        <v>46</v>
      </c>
      <c r="C224" s="85">
        <v>33.65</v>
      </c>
      <c r="D224" s="85">
        <v>46</v>
      </c>
      <c r="E224" s="85">
        <v>16.4</v>
      </c>
      <c r="F224" s="6" t="s">
        <v>1574</v>
      </c>
      <c r="G224" s="6">
        <v>9</v>
      </c>
      <c r="H224" s="6">
        <v>130</v>
      </c>
      <c r="I224" s="3" t="s">
        <v>94</v>
      </c>
      <c r="J224" s="17"/>
    </row>
    <row r="225" spans="1:10" ht="12.75">
      <c r="A225" s="85">
        <v>2.3</v>
      </c>
      <c r="B225" s="85">
        <v>45</v>
      </c>
      <c r="C225" s="85">
        <v>39.9</v>
      </c>
      <c r="D225" s="85">
        <v>45</v>
      </c>
      <c r="E225" s="85">
        <v>17.55</v>
      </c>
      <c r="F225" s="6" t="s">
        <v>1574</v>
      </c>
      <c r="G225" s="6" t="s">
        <v>1577</v>
      </c>
      <c r="H225" s="6">
        <v>130</v>
      </c>
      <c r="I225" s="3" t="s">
        <v>95</v>
      </c>
      <c r="J225" s="17"/>
    </row>
    <row r="226" spans="1:11" ht="12.75">
      <c r="A226" s="85">
        <v>2.3</v>
      </c>
      <c r="B226" s="85">
        <v>41</v>
      </c>
      <c r="C226" s="85">
        <v>35</v>
      </c>
      <c r="D226" s="85">
        <v>41</v>
      </c>
      <c r="E226" s="85">
        <v>35</v>
      </c>
      <c r="F226" s="6" t="s">
        <v>1387</v>
      </c>
      <c r="G226" s="6"/>
      <c r="H226" s="6">
        <v>100</v>
      </c>
      <c r="I226" s="3" t="s">
        <v>433</v>
      </c>
      <c r="J226" s="135">
        <v>37253</v>
      </c>
      <c r="K226" s="90" t="s">
        <v>414</v>
      </c>
    </row>
    <row r="227" spans="1:11" ht="12.75">
      <c r="A227" s="85">
        <v>2.3</v>
      </c>
      <c r="B227" s="85">
        <v>45.5</v>
      </c>
      <c r="C227" s="85">
        <v>39.45</v>
      </c>
      <c r="D227" s="85">
        <v>45.5</v>
      </c>
      <c r="E227" s="85">
        <v>17.95</v>
      </c>
      <c r="F227" s="6" t="s">
        <v>1574</v>
      </c>
      <c r="G227" s="6"/>
      <c r="H227" s="6">
        <v>130</v>
      </c>
      <c r="I227" s="3" t="s">
        <v>433</v>
      </c>
      <c r="J227" s="135">
        <v>37254</v>
      </c>
      <c r="K227" s="90" t="s">
        <v>414</v>
      </c>
    </row>
    <row r="228" spans="1:11" ht="12.75">
      <c r="A228" s="85">
        <v>2.3</v>
      </c>
      <c r="B228" s="85">
        <v>45.5</v>
      </c>
      <c r="C228" s="85">
        <v>37.4</v>
      </c>
      <c r="D228" s="85">
        <v>45.5</v>
      </c>
      <c r="E228" s="85">
        <v>20.05</v>
      </c>
      <c r="F228" s="6" t="s">
        <v>1574</v>
      </c>
      <c r="G228" s="6"/>
      <c r="H228" s="6">
        <v>135</v>
      </c>
      <c r="I228" s="3" t="s">
        <v>433</v>
      </c>
      <c r="J228" s="135">
        <v>37254</v>
      </c>
      <c r="K228" s="90" t="s">
        <v>414</v>
      </c>
    </row>
    <row r="229" spans="1:11" ht="12.75">
      <c r="A229" s="85">
        <v>2.8</v>
      </c>
      <c r="B229" s="85">
        <v>60</v>
      </c>
      <c r="C229" s="85">
        <v>34.5</v>
      </c>
      <c r="D229" s="85">
        <v>60</v>
      </c>
      <c r="E229" s="85">
        <v>34.5</v>
      </c>
      <c r="F229" s="6" t="s">
        <v>1387</v>
      </c>
      <c r="G229" s="6"/>
      <c r="H229" s="6">
        <v>100</v>
      </c>
      <c r="I229" s="3" t="s">
        <v>441</v>
      </c>
      <c r="J229" s="135">
        <v>37253</v>
      </c>
      <c r="K229" s="90" t="s">
        <v>414</v>
      </c>
    </row>
    <row r="230" spans="1:11" ht="12.75">
      <c r="A230" s="85">
        <v>2.8</v>
      </c>
      <c r="B230" s="85">
        <v>60</v>
      </c>
      <c r="C230" s="85">
        <v>34.25</v>
      </c>
      <c r="D230" s="85">
        <v>60</v>
      </c>
      <c r="E230" s="85">
        <v>19.45</v>
      </c>
      <c r="F230" s="6" t="s">
        <v>1574</v>
      </c>
      <c r="G230" s="6" t="s">
        <v>1577</v>
      </c>
      <c r="H230" s="6">
        <v>135</v>
      </c>
      <c r="I230" s="3" t="s">
        <v>527</v>
      </c>
      <c r="J230" s="135">
        <v>37254</v>
      </c>
      <c r="K230" s="90" t="s">
        <v>414</v>
      </c>
    </row>
    <row r="231" spans="1:11" ht="12.75">
      <c r="A231" s="85">
        <v>2.8</v>
      </c>
      <c r="B231" s="85">
        <v>60</v>
      </c>
      <c r="C231" s="85">
        <v>31.25</v>
      </c>
      <c r="D231" s="85">
        <v>60</v>
      </c>
      <c r="E231" s="85">
        <v>21.45</v>
      </c>
      <c r="F231" s="6" t="s">
        <v>1574</v>
      </c>
      <c r="G231" s="6" t="s">
        <v>1577</v>
      </c>
      <c r="H231" s="6">
        <v>140</v>
      </c>
      <c r="I231" s="3" t="s">
        <v>527</v>
      </c>
      <c r="J231" s="135">
        <v>37254</v>
      </c>
      <c r="K231" s="90" t="s">
        <v>414</v>
      </c>
    </row>
    <row r="232" spans="1:11" ht="12.75">
      <c r="A232" s="85">
        <v>2.8</v>
      </c>
      <c r="B232" s="85">
        <v>60</v>
      </c>
      <c r="C232" s="85">
        <v>28.75</v>
      </c>
      <c r="D232" s="85">
        <v>60</v>
      </c>
      <c r="E232" s="85">
        <v>23.95</v>
      </c>
      <c r="F232" s="6" t="s">
        <v>1574</v>
      </c>
      <c r="G232" s="6" t="s">
        <v>1577</v>
      </c>
      <c r="H232" s="6">
        <v>145</v>
      </c>
      <c r="I232" s="3" t="s">
        <v>527</v>
      </c>
      <c r="J232" s="135">
        <v>37254</v>
      </c>
      <c r="K232" s="90" t="s">
        <v>414</v>
      </c>
    </row>
    <row r="233" spans="1:11" ht="12.75">
      <c r="A233" s="85">
        <v>2.8</v>
      </c>
      <c r="B233" s="85">
        <v>60</v>
      </c>
      <c r="C233" s="85">
        <v>22.75</v>
      </c>
      <c r="D233" s="85">
        <v>61</v>
      </c>
      <c r="E233" s="85">
        <v>34.4</v>
      </c>
      <c r="F233" s="6" t="s">
        <v>1387</v>
      </c>
      <c r="G233" s="6"/>
      <c r="H233" s="6">
        <v>100</v>
      </c>
      <c r="I233" s="3" t="s">
        <v>442</v>
      </c>
      <c r="J233" s="135">
        <v>37253</v>
      </c>
      <c r="K233" s="90" t="s">
        <v>414</v>
      </c>
    </row>
    <row r="234" spans="1:11" ht="12.75">
      <c r="A234" s="85">
        <v>2.8</v>
      </c>
      <c r="B234" s="85">
        <v>60</v>
      </c>
      <c r="C234" s="85">
        <v>31.25</v>
      </c>
      <c r="D234" s="85">
        <v>60</v>
      </c>
      <c r="E234" s="85">
        <v>21.45</v>
      </c>
      <c r="F234" s="6" t="s">
        <v>1574</v>
      </c>
      <c r="G234" s="6" t="s">
        <v>1577</v>
      </c>
      <c r="H234" s="6">
        <v>140</v>
      </c>
      <c r="I234" s="3" t="s">
        <v>442</v>
      </c>
      <c r="J234" s="135">
        <v>37254</v>
      </c>
      <c r="K234" s="90" t="s">
        <v>414</v>
      </c>
    </row>
    <row r="235" spans="1:11" ht="12.75">
      <c r="A235" s="85">
        <v>2.8</v>
      </c>
      <c r="B235" s="85">
        <v>60</v>
      </c>
      <c r="C235" s="85">
        <v>28.75</v>
      </c>
      <c r="D235" s="85">
        <v>60</v>
      </c>
      <c r="E235" s="85">
        <v>23.95</v>
      </c>
      <c r="F235" s="6" t="s">
        <v>1574</v>
      </c>
      <c r="G235" s="6" t="s">
        <v>1577</v>
      </c>
      <c r="H235" s="6">
        <v>145</v>
      </c>
      <c r="I235" s="3" t="s">
        <v>442</v>
      </c>
      <c r="J235" s="135">
        <v>37254</v>
      </c>
      <c r="K235" s="90" t="s">
        <v>414</v>
      </c>
    </row>
    <row r="236" spans="1:11" ht="12.75">
      <c r="A236" s="85">
        <v>2.5</v>
      </c>
      <c r="B236" s="85">
        <v>58</v>
      </c>
      <c r="C236" s="85">
        <v>23</v>
      </c>
      <c r="D236" s="85">
        <v>48</v>
      </c>
      <c r="E236" s="85">
        <v>34.7</v>
      </c>
      <c r="F236" s="6" t="s">
        <v>1387</v>
      </c>
      <c r="G236" s="6"/>
      <c r="H236" s="6">
        <v>100</v>
      </c>
      <c r="I236" s="3" t="s">
        <v>428</v>
      </c>
      <c r="J236" s="135">
        <v>37253</v>
      </c>
      <c r="K236" s="90" t="s">
        <v>414</v>
      </c>
    </row>
    <row r="237" spans="1:11" ht="12.75">
      <c r="A237" s="85">
        <v>2.5</v>
      </c>
      <c r="B237" s="85">
        <v>58</v>
      </c>
      <c r="C237" s="85">
        <v>22.8</v>
      </c>
      <c r="D237" s="85">
        <v>58</v>
      </c>
      <c r="E237" s="85">
        <v>31.5</v>
      </c>
      <c r="F237" s="6" t="s">
        <v>1387</v>
      </c>
      <c r="G237" s="6"/>
      <c r="H237" s="6">
        <v>110</v>
      </c>
      <c r="I237" s="3" t="s">
        <v>428</v>
      </c>
      <c r="J237" s="135">
        <v>37253</v>
      </c>
      <c r="K237" s="90" t="s">
        <v>414</v>
      </c>
    </row>
    <row r="238" spans="1:11" ht="12.75">
      <c r="A238" s="85">
        <v>2.5</v>
      </c>
      <c r="B238" s="85">
        <v>58</v>
      </c>
      <c r="C238" s="85">
        <v>33.25</v>
      </c>
      <c r="D238" s="85">
        <v>47</v>
      </c>
      <c r="E238" s="85">
        <v>20</v>
      </c>
      <c r="F238" s="6" t="s">
        <v>1574</v>
      </c>
      <c r="G238" s="6"/>
      <c r="H238" s="6">
        <v>135</v>
      </c>
      <c r="I238" s="3" t="s">
        <v>428</v>
      </c>
      <c r="J238" s="135">
        <v>37254</v>
      </c>
      <c r="K238" s="90" t="s">
        <v>414</v>
      </c>
    </row>
    <row r="239" spans="1:11" ht="12.75">
      <c r="A239" s="85">
        <v>2.5</v>
      </c>
      <c r="B239" s="85">
        <v>40</v>
      </c>
      <c r="C239" s="85">
        <v>34.2</v>
      </c>
      <c r="D239" s="85">
        <v>40</v>
      </c>
      <c r="E239" s="85">
        <v>34.2</v>
      </c>
      <c r="F239" s="6" t="s">
        <v>1387</v>
      </c>
      <c r="G239" s="6"/>
      <c r="H239" s="6">
        <v>100</v>
      </c>
      <c r="I239" s="3" t="s">
        <v>1412</v>
      </c>
      <c r="J239" s="135">
        <v>37253</v>
      </c>
      <c r="K239" s="90" t="s">
        <v>414</v>
      </c>
    </row>
    <row r="240" spans="1:11" ht="12.75">
      <c r="A240" s="85">
        <v>2.5</v>
      </c>
      <c r="B240" s="85">
        <v>40</v>
      </c>
      <c r="C240" s="85">
        <v>35.35</v>
      </c>
      <c r="D240" s="85">
        <v>40</v>
      </c>
      <c r="E240" s="85">
        <v>35.35</v>
      </c>
      <c r="F240" s="6" t="s">
        <v>1387</v>
      </c>
      <c r="G240" s="6"/>
      <c r="H240" s="6">
        <v>100</v>
      </c>
      <c r="I240" s="3" t="s">
        <v>1413</v>
      </c>
      <c r="J240" s="135">
        <v>37253</v>
      </c>
      <c r="K240" s="90" t="s">
        <v>414</v>
      </c>
    </row>
    <row r="241" spans="1:11" ht="12.75">
      <c r="A241" s="85">
        <v>2.5</v>
      </c>
      <c r="B241" s="85">
        <v>46</v>
      </c>
      <c r="C241" s="85">
        <v>32.1</v>
      </c>
      <c r="D241" s="85">
        <v>46</v>
      </c>
      <c r="E241" s="85">
        <v>17.5</v>
      </c>
      <c r="F241" s="6" t="s">
        <v>1574</v>
      </c>
      <c r="G241" s="6"/>
      <c r="H241" s="6">
        <v>130</v>
      </c>
      <c r="I241" s="3" t="s">
        <v>518</v>
      </c>
      <c r="J241" s="135">
        <v>37254</v>
      </c>
      <c r="K241" s="90" t="s">
        <v>414</v>
      </c>
    </row>
    <row r="242" spans="1:11" ht="12.75">
      <c r="A242" s="85">
        <v>2.5</v>
      </c>
      <c r="B242" s="85">
        <v>46</v>
      </c>
      <c r="C242" s="85">
        <v>29.6</v>
      </c>
      <c r="D242" s="85">
        <v>46</v>
      </c>
      <c r="E242" s="85">
        <v>20</v>
      </c>
      <c r="F242" s="6" t="s">
        <v>1574</v>
      </c>
      <c r="G242" s="6"/>
      <c r="H242" s="6">
        <v>135</v>
      </c>
      <c r="I242" s="3" t="s">
        <v>518</v>
      </c>
      <c r="J242" s="135">
        <v>37254</v>
      </c>
      <c r="K242" s="90" t="s">
        <v>414</v>
      </c>
    </row>
    <row r="243" spans="1:11" ht="12.75">
      <c r="A243" s="85">
        <v>2.5</v>
      </c>
      <c r="B243" s="85">
        <v>41</v>
      </c>
      <c r="C243" s="85">
        <v>35</v>
      </c>
      <c r="D243" s="85">
        <v>41</v>
      </c>
      <c r="E243" s="85">
        <v>35</v>
      </c>
      <c r="F243" s="6" t="s">
        <v>1387</v>
      </c>
      <c r="G243" s="6"/>
      <c r="H243" s="6">
        <v>100</v>
      </c>
      <c r="I243" s="3" t="s">
        <v>443</v>
      </c>
      <c r="J243" s="135">
        <v>37253</v>
      </c>
      <c r="K243" s="90" t="s">
        <v>414</v>
      </c>
    </row>
    <row r="244" spans="1:11" ht="12.75">
      <c r="A244" s="85">
        <v>2.5</v>
      </c>
      <c r="B244" s="85">
        <v>45</v>
      </c>
      <c r="C244" s="85">
        <v>34</v>
      </c>
      <c r="D244" s="85">
        <v>45</v>
      </c>
      <c r="E244" s="85">
        <v>19</v>
      </c>
      <c r="F244" s="6" t="s">
        <v>1574</v>
      </c>
      <c r="G244" s="6"/>
      <c r="H244" s="6">
        <v>135</v>
      </c>
      <c r="I244" s="3" t="s">
        <v>443</v>
      </c>
      <c r="J244" s="135">
        <v>37254</v>
      </c>
      <c r="K244" s="90" t="s">
        <v>414</v>
      </c>
    </row>
    <row r="245" spans="1:11" ht="12.75">
      <c r="A245" s="85">
        <v>2.5</v>
      </c>
      <c r="B245" s="85">
        <v>178</v>
      </c>
      <c r="C245" s="85">
        <v>20</v>
      </c>
      <c r="D245" s="85">
        <v>178</v>
      </c>
      <c r="E245" s="85">
        <v>20</v>
      </c>
      <c r="F245" s="6" t="s">
        <v>1387</v>
      </c>
      <c r="G245" s="6"/>
      <c r="H245" s="6">
        <v>100</v>
      </c>
      <c r="I245" s="3" t="s">
        <v>1312</v>
      </c>
      <c r="J245" s="135">
        <v>39053</v>
      </c>
      <c r="K245" s="90" t="s">
        <v>1313</v>
      </c>
    </row>
    <row r="246" spans="1:11" ht="12.75">
      <c r="A246" s="85">
        <v>2.6</v>
      </c>
      <c r="B246" s="85">
        <v>42</v>
      </c>
      <c r="C246" s="85">
        <v>33</v>
      </c>
      <c r="D246" s="85">
        <v>42</v>
      </c>
      <c r="E246" s="85">
        <v>33</v>
      </c>
      <c r="F246" s="6" t="s">
        <v>1387</v>
      </c>
      <c r="G246" s="6"/>
      <c r="H246" s="6">
        <v>100</v>
      </c>
      <c r="I246" s="3" t="s">
        <v>444</v>
      </c>
      <c r="J246" s="135">
        <v>37253</v>
      </c>
      <c r="K246" s="90" t="s">
        <v>414</v>
      </c>
    </row>
    <row r="247" spans="1:11" ht="12.75">
      <c r="A247" s="85">
        <v>2.6</v>
      </c>
      <c r="B247" s="85">
        <v>48</v>
      </c>
      <c r="C247" s="85">
        <v>33</v>
      </c>
      <c r="D247" s="85">
        <v>48</v>
      </c>
      <c r="E247" s="85">
        <v>21</v>
      </c>
      <c r="F247" s="6" t="s">
        <v>1574</v>
      </c>
      <c r="G247" s="6"/>
      <c r="H247" s="6">
        <v>135</v>
      </c>
      <c r="I247" s="3" t="s">
        <v>528</v>
      </c>
      <c r="J247" s="135">
        <v>37254</v>
      </c>
      <c r="K247" s="90" t="s">
        <v>414</v>
      </c>
    </row>
    <row r="248" spans="1:11" ht="12.75">
      <c r="A248" s="85">
        <v>2.5</v>
      </c>
      <c r="B248" s="85">
        <v>52.5</v>
      </c>
      <c r="C248" s="85">
        <v>19.65</v>
      </c>
      <c r="D248" s="85">
        <v>46</v>
      </c>
      <c r="E248" s="85">
        <v>35.1</v>
      </c>
      <c r="F248" s="6" t="s">
        <v>1387</v>
      </c>
      <c r="G248" s="6"/>
      <c r="H248" s="6">
        <v>100</v>
      </c>
      <c r="I248" s="3" t="s">
        <v>447</v>
      </c>
      <c r="J248" s="135">
        <v>37253</v>
      </c>
      <c r="K248" s="90" t="s">
        <v>414</v>
      </c>
    </row>
    <row r="249" spans="1:11" ht="12.75">
      <c r="A249" s="85">
        <v>2.5</v>
      </c>
      <c r="B249" s="85">
        <v>52.5</v>
      </c>
      <c r="C249" s="85">
        <v>33.4</v>
      </c>
      <c r="D249" s="85">
        <v>46</v>
      </c>
      <c r="E249" s="85">
        <v>19.65</v>
      </c>
      <c r="F249" s="6" t="s">
        <v>1574</v>
      </c>
      <c r="G249" s="6"/>
      <c r="H249" s="6">
        <v>135</v>
      </c>
      <c r="I249" s="3" t="s">
        <v>447</v>
      </c>
      <c r="J249" s="135">
        <v>37254</v>
      </c>
      <c r="K249" s="90" t="s">
        <v>414</v>
      </c>
    </row>
    <row r="250" spans="1:11" ht="12.75">
      <c r="A250" s="85">
        <v>2.6</v>
      </c>
      <c r="B250" s="85">
        <v>51</v>
      </c>
      <c r="C250" s="85">
        <v>18</v>
      </c>
      <c r="D250" s="85">
        <v>51</v>
      </c>
      <c r="E250" s="85">
        <v>34</v>
      </c>
      <c r="F250" s="6" t="s">
        <v>1387</v>
      </c>
      <c r="G250" s="6"/>
      <c r="H250" s="6">
        <v>100</v>
      </c>
      <c r="I250" s="3" t="s">
        <v>446</v>
      </c>
      <c r="J250" s="135">
        <v>37253</v>
      </c>
      <c r="K250" s="90" t="s">
        <v>414</v>
      </c>
    </row>
    <row r="251" spans="1:11" ht="12.75">
      <c r="A251" s="85">
        <v>2.6</v>
      </c>
      <c r="B251" s="85">
        <v>51</v>
      </c>
      <c r="C251" s="85">
        <v>32</v>
      </c>
      <c r="D251" s="85">
        <v>51</v>
      </c>
      <c r="E251" s="85">
        <v>20</v>
      </c>
      <c r="F251" s="6" t="s">
        <v>1574</v>
      </c>
      <c r="G251" s="6"/>
      <c r="H251" s="6">
        <v>135</v>
      </c>
      <c r="I251" s="3" t="s">
        <v>446</v>
      </c>
      <c r="J251" s="135">
        <v>37254</v>
      </c>
      <c r="K251" s="90" t="s">
        <v>414</v>
      </c>
    </row>
    <row r="252" spans="1:11" ht="12.75">
      <c r="A252" s="85">
        <v>2.6</v>
      </c>
      <c r="B252" s="85">
        <v>45</v>
      </c>
      <c r="C252" s="85">
        <v>22</v>
      </c>
      <c r="D252" s="85">
        <v>45</v>
      </c>
      <c r="E252" s="85">
        <v>33</v>
      </c>
      <c r="F252" s="6" t="s">
        <v>1387</v>
      </c>
      <c r="G252" s="6"/>
      <c r="H252" s="6">
        <v>110</v>
      </c>
      <c r="I252" s="3" t="s">
        <v>448</v>
      </c>
      <c r="J252" s="135">
        <v>37253</v>
      </c>
      <c r="K252" s="90" t="s">
        <v>414</v>
      </c>
    </row>
    <row r="253" spans="1:11" ht="12.75">
      <c r="A253" s="85">
        <v>2.6</v>
      </c>
      <c r="B253" s="85">
        <v>48</v>
      </c>
      <c r="C253" s="85">
        <v>19</v>
      </c>
      <c r="D253" s="85">
        <v>48</v>
      </c>
      <c r="E253" s="85">
        <v>38</v>
      </c>
      <c r="F253" s="6" t="s">
        <v>1387</v>
      </c>
      <c r="G253" s="6"/>
      <c r="H253" s="6">
        <v>100</v>
      </c>
      <c r="I253" s="3" t="s">
        <v>445</v>
      </c>
      <c r="J253" s="135">
        <v>37253</v>
      </c>
      <c r="K253" s="90" t="s">
        <v>414</v>
      </c>
    </row>
    <row r="254" spans="1:11" ht="12.75">
      <c r="A254" s="85">
        <v>0</v>
      </c>
      <c r="B254" s="85">
        <f>29+4</f>
        <v>33</v>
      </c>
      <c r="C254" s="85">
        <f>77/2</f>
        <v>38.5</v>
      </c>
      <c r="D254" s="85">
        <f>29+4</f>
        <v>33</v>
      </c>
      <c r="E254" s="85">
        <f>77/2</f>
        <v>38.5</v>
      </c>
      <c r="F254" s="6" t="s">
        <v>1387</v>
      </c>
      <c r="G254" s="6"/>
      <c r="H254" s="6">
        <v>100</v>
      </c>
      <c r="I254" s="3" t="s">
        <v>338</v>
      </c>
      <c r="J254" s="135">
        <v>37617</v>
      </c>
      <c r="K254" s="90" t="s">
        <v>158</v>
      </c>
    </row>
    <row r="255" spans="1:11" ht="12.75">
      <c r="A255" s="85">
        <v>2.4</v>
      </c>
      <c r="B255" s="85">
        <v>35</v>
      </c>
      <c r="C255" s="85">
        <v>34.5</v>
      </c>
      <c r="D255" s="85">
        <v>35</v>
      </c>
      <c r="E255" s="85">
        <v>34.5</v>
      </c>
      <c r="F255" s="6" t="s">
        <v>1387</v>
      </c>
      <c r="G255" s="6"/>
      <c r="H255" s="6">
        <v>100</v>
      </c>
      <c r="I255" s="3" t="s">
        <v>1278</v>
      </c>
      <c r="J255" s="135">
        <v>39053</v>
      </c>
      <c r="K255" s="90" t="s">
        <v>1276</v>
      </c>
    </row>
    <row r="256" spans="1:11" ht="12.75">
      <c r="A256" s="85">
        <v>2.4</v>
      </c>
      <c r="B256" s="85">
        <v>36</v>
      </c>
      <c r="C256" s="85">
        <v>29</v>
      </c>
      <c r="D256" s="85">
        <v>42</v>
      </c>
      <c r="E256" s="85">
        <v>18</v>
      </c>
      <c r="F256" s="6" t="s">
        <v>1574</v>
      </c>
      <c r="G256" s="6"/>
      <c r="H256" s="6">
        <v>130</v>
      </c>
      <c r="I256" s="3" t="s">
        <v>1278</v>
      </c>
      <c r="J256" s="135">
        <v>39053</v>
      </c>
      <c r="K256" s="90" t="s">
        <v>1276</v>
      </c>
    </row>
    <row r="257" spans="1:11" ht="12.75">
      <c r="A257" s="85">
        <v>2.4</v>
      </c>
      <c r="B257" s="85">
        <v>59</v>
      </c>
      <c r="C257" s="85">
        <v>28.3</v>
      </c>
      <c r="D257" s="85">
        <v>59</v>
      </c>
      <c r="E257" s="85">
        <v>28.3</v>
      </c>
      <c r="F257" s="6" t="s">
        <v>1387</v>
      </c>
      <c r="G257" s="6"/>
      <c r="H257" s="6">
        <v>100</v>
      </c>
      <c r="I257" s="3" t="s">
        <v>1277</v>
      </c>
      <c r="J257" s="135">
        <v>39053</v>
      </c>
      <c r="K257" s="90" t="s">
        <v>1276</v>
      </c>
    </row>
    <row r="258" spans="1:11" ht="12.75">
      <c r="A258" s="85">
        <v>2.4</v>
      </c>
      <c r="B258" s="85">
        <v>59</v>
      </c>
      <c r="C258" s="85">
        <v>39.4</v>
      </c>
      <c r="D258" s="85">
        <v>59</v>
      </c>
      <c r="E258" s="85">
        <v>17.2</v>
      </c>
      <c r="F258" s="6" t="s">
        <v>1574</v>
      </c>
      <c r="G258" s="6"/>
      <c r="H258" s="6">
        <v>135</v>
      </c>
      <c r="I258" s="3" t="s">
        <v>1277</v>
      </c>
      <c r="J258" s="135">
        <v>39053</v>
      </c>
      <c r="K258" s="90" t="s">
        <v>1276</v>
      </c>
    </row>
    <row r="259" spans="1:11" ht="12.75">
      <c r="A259" s="85">
        <v>2.4</v>
      </c>
      <c r="B259" s="85">
        <v>59</v>
      </c>
      <c r="C259" s="85">
        <v>22.9</v>
      </c>
      <c r="D259" s="85">
        <v>59</v>
      </c>
      <c r="E259" s="85">
        <v>33.7</v>
      </c>
      <c r="F259" s="6" t="s">
        <v>1387</v>
      </c>
      <c r="G259" s="6"/>
      <c r="H259" s="6">
        <v>100</v>
      </c>
      <c r="I259" s="3" t="s">
        <v>1279</v>
      </c>
      <c r="J259" s="135">
        <v>39053</v>
      </c>
      <c r="K259" s="90" t="s">
        <v>1276</v>
      </c>
    </row>
    <row r="260" spans="1:11" ht="12.75">
      <c r="A260" s="85">
        <v>2.4</v>
      </c>
      <c r="B260" s="85">
        <v>59</v>
      </c>
      <c r="C260" s="85">
        <v>39.4</v>
      </c>
      <c r="D260" s="85">
        <v>59</v>
      </c>
      <c r="E260" s="85">
        <v>17.2</v>
      </c>
      <c r="F260" s="6" t="s">
        <v>1574</v>
      </c>
      <c r="G260" s="6"/>
      <c r="H260" s="6">
        <v>135</v>
      </c>
      <c r="I260" s="3" t="s">
        <v>1279</v>
      </c>
      <c r="J260" s="135">
        <v>39053</v>
      </c>
      <c r="K260" s="90" t="s">
        <v>1276</v>
      </c>
    </row>
    <row r="261" spans="1:11" ht="12.75">
      <c r="A261" s="85">
        <v>2.4</v>
      </c>
      <c r="B261" s="85">
        <v>59</v>
      </c>
      <c r="C261" s="85">
        <v>22.9</v>
      </c>
      <c r="D261" s="85">
        <v>59</v>
      </c>
      <c r="E261" s="85">
        <v>33.7</v>
      </c>
      <c r="F261" s="6" t="s">
        <v>1387</v>
      </c>
      <c r="G261" s="6"/>
      <c r="H261" s="6" t="s">
        <v>1281</v>
      </c>
      <c r="I261" s="3" t="s">
        <v>1280</v>
      </c>
      <c r="J261" s="135">
        <v>39053</v>
      </c>
      <c r="K261" s="90" t="s">
        <v>1276</v>
      </c>
    </row>
    <row r="262" spans="1:11" ht="12.75">
      <c r="A262" s="85">
        <v>2.4</v>
      </c>
      <c r="B262" s="85">
        <v>38</v>
      </c>
      <c r="C262" s="85">
        <v>34.4</v>
      </c>
      <c r="D262" s="85">
        <v>38</v>
      </c>
      <c r="E262" s="85">
        <v>34.4</v>
      </c>
      <c r="F262" s="6" t="s">
        <v>1387</v>
      </c>
      <c r="G262" s="6"/>
      <c r="H262" s="6">
        <v>100</v>
      </c>
      <c r="I262" s="3" t="s">
        <v>1282</v>
      </c>
      <c r="J262" s="135">
        <v>39053</v>
      </c>
      <c r="K262" s="90" t="s">
        <v>1276</v>
      </c>
    </row>
    <row r="263" spans="1:11" ht="12.75">
      <c r="A263" s="85">
        <v>2.4</v>
      </c>
      <c r="B263" s="85">
        <v>38</v>
      </c>
      <c r="C263" s="85">
        <v>37.7</v>
      </c>
      <c r="D263" s="85">
        <v>45</v>
      </c>
      <c r="E263" s="85">
        <v>18.6</v>
      </c>
      <c r="F263" s="6" t="s">
        <v>1574</v>
      </c>
      <c r="G263" s="6"/>
      <c r="H263" s="6">
        <v>130</v>
      </c>
      <c r="I263" s="3" t="s">
        <v>1283</v>
      </c>
      <c r="J263" s="135">
        <v>39053</v>
      </c>
      <c r="K263" s="90" t="s">
        <v>1276</v>
      </c>
    </row>
    <row r="264" spans="1:11" ht="12.75">
      <c r="A264" s="85">
        <v>2.4</v>
      </c>
      <c r="B264" s="85">
        <v>38</v>
      </c>
      <c r="C264" s="85">
        <v>56.3</v>
      </c>
      <c r="D264" s="85">
        <v>45</v>
      </c>
      <c r="E264" s="85">
        <v>21.1</v>
      </c>
      <c r="F264" s="6" t="s">
        <v>1574</v>
      </c>
      <c r="G264" s="6"/>
      <c r="H264" s="6">
        <v>135</v>
      </c>
      <c r="I264" s="3" t="s">
        <v>1284</v>
      </c>
      <c r="J264" s="135">
        <v>39053</v>
      </c>
      <c r="K264" s="90" t="s">
        <v>1276</v>
      </c>
    </row>
    <row r="265" spans="1:11" ht="12.75">
      <c r="A265" s="85">
        <v>2.4</v>
      </c>
      <c r="B265" s="85">
        <v>44</v>
      </c>
      <c r="C265" s="85">
        <v>22.8</v>
      </c>
      <c r="D265" s="85">
        <v>38</v>
      </c>
      <c r="E265" s="85">
        <v>33.7</v>
      </c>
      <c r="F265" s="6" t="s">
        <v>1387</v>
      </c>
      <c r="G265" s="6"/>
      <c r="H265" s="6">
        <v>100</v>
      </c>
      <c r="I265" s="3" t="s">
        <v>1285</v>
      </c>
      <c r="J265" s="135">
        <v>39053</v>
      </c>
      <c r="K265" s="90" t="s">
        <v>1276</v>
      </c>
    </row>
    <row r="266" spans="1:11" ht="12.75">
      <c r="A266" s="85">
        <v>2.4</v>
      </c>
      <c r="B266" s="85">
        <v>45</v>
      </c>
      <c r="C266" s="85">
        <v>33.9</v>
      </c>
      <c r="D266" s="85">
        <v>45</v>
      </c>
      <c r="E266" s="85">
        <v>20.4</v>
      </c>
      <c r="F266" s="6" t="s">
        <v>1574</v>
      </c>
      <c r="G266" s="6"/>
      <c r="H266" s="6">
        <v>135</v>
      </c>
      <c r="I266" s="3" t="s">
        <v>1285</v>
      </c>
      <c r="J266" s="135">
        <v>39053</v>
      </c>
      <c r="K266" s="90" t="s">
        <v>1276</v>
      </c>
    </row>
    <row r="267" spans="1:11" ht="12.75">
      <c r="A267" s="85">
        <v>2.4</v>
      </c>
      <c r="B267" s="85">
        <v>34</v>
      </c>
      <c r="C267" s="85">
        <v>34.5</v>
      </c>
      <c r="D267" s="85">
        <v>34</v>
      </c>
      <c r="E267" s="85">
        <v>34.5</v>
      </c>
      <c r="F267" s="6" t="s">
        <v>1387</v>
      </c>
      <c r="G267" s="6"/>
      <c r="H267" s="6">
        <v>100</v>
      </c>
      <c r="I267" s="3" t="s">
        <v>426</v>
      </c>
      <c r="J267" s="135">
        <v>37421</v>
      </c>
      <c r="K267" s="90" t="s">
        <v>424</v>
      </c>
    </row>
    <row r="268" spans="1:11" ht="12.75">
      <c r="A268" s="85">
        <v>2.4</v>
      </c>
      <c r="B268" s="85">
        <v>37.5</v>
      </c>
      <c r="C268" s="85">
        <v>34</v>
      </c>
      <c r="D268" s="85">
        <v>41</v>
      </c>
      <c r="E268" s="85">
        <v>18.5</v>
      </c>
      <c r="F268" s="6" t="s">
        <v>1574</v>
      </c>
      <c r="G268" s="6"/>
      <c r="H268" s="6">
        <v>130</v>
      </c>
      <c r="I268" s="3" t="s">
        <v>426</v>
      </c>
      <c r="J268" s="135">
        <v>37421</v>
      </c>
      <c r="K268" s="90" t="s">
        <v>424</v>
      </c>
    </row>
    <row r="269" spans="1:11" ht="12.75">
      <c r="A269" s="85">
        <v>2.4</v>
      </c>
      <c r="B269" s="85">
        <v>37.5</v>
      </c>
      <c r="C269" s="85">
        <v>36.5</v>
      </c>
      <c r="D269" s="85">
        <v>41</v>
      </c>
      <c r="E269" s="85">
        <v>21</v>
      </c>
      <c r="F269" s="6" t="s">
        <v>1574</v>
      </c>
      <c r="G269" s="6"/>
      <c r="H269" s="6">
        <v>135</v>
      </c>
      <c r="I269" s="3" t="s">
        <v>426</v>
      </c>
      <c r="J269" s="135">
        <v>37421</v>
      </c>
      <c r="K269" s="90" t="s">
        <v>424</v>
      </c>
    </row>
    <row r="270" spans="1:11" ht="12.75">
      <c r="A270" s="85">
        <v>2.4</v>
      </c>
      <c r="B270" s="85">
        <v>35</v>
      </c>
      <c r="C270" s="85">
        <v>34.5</v>
      </c>
      <c r="D270" s="85">
        <v>35</v>
      </c>
      <c r="E270" s="85">
        <v>34.5</v>
      </c>
      <c r="F270" s="6" t="s">
        <v>1387</v>
      </c>
      <c r="G270" s="6"/>
      <c r="H270" s="6">
        <v>100</v>
      </c>
      <c r="I270" s="3" t="s">
        <v>423</v>
      </c>
      <c r="J270" s="135">
        <v>37421</v>
      </c>
      <c r="K270" s="90" t="s">
        <v>424</v>
      </c>
    </row>
    <row r="271" spans="1:11" ht="12.75">
      <c r="A271" s="85">
        <v>2.4</v>
      </c>
      <c r="B271" s="85">
        <v>44</v>
      </c>
      <c r="C271" s="85">
        <v>23</v>
      </c>
      <c r="D271" s="85">
        <v>38</v>
      </c>
      <c r="E271" s="85">
        <v>33.4</v>
      </c>
      <c r="F271" s="6" t="s">
        <v>1387</v>
      </c>
      <c r="G271" s="6"/>
      <c r="H271" s="6">
        <v>100</v>
      </c>
      <c r="I271" s="3" t="s">
        <v>427</v>
      </c>
      <c r="J271" s="135">
        <v>37421</v>
      </c>
      <c r="K271" s="90" t="s">
        <v>424</v>
      </c>
    </row>
    <row r="272" spans="1:11" ht="12.75">
      <c r="A272" s="85">
        <v>2.4</v>
      </c>
      <c r="B272" s="85">
        <v>45</v>
      </c>
      <c r="C272" s="85">
        <v>34.4</v>
      </c>
      <c r="D272" s="85">
        <v>45</v>
      </c>
      <c r="E272" s="85">
        <v>21</v>
      </c>
      <c r="F272" s="6" t="s">
        <v>1574</v>
      </c>
      <c r="G272" s="6"/>
      <c r="H272" s="6">
        <v>135</v>
      </c>
      <c r="I272" s="3" t="s">
        <v>427</v>
      </c>
      <c r="J272" s="135">
        <v>37421</v>
      </c>
      <c r="K272" s="90" t="s">
        <v>424</v>
      </c>
    </row>
    <row r="273" spans="1:11" ht="12.75">
      <c r="A273" s="85">
        <v>2.4</v>
      </c>
      <c r="B273" s="85">
        <v>37.5</v>
      </c>
      <c r="C273" s="85">
        <v>34</v>
      </c>
      <c r="D273" s="85">
        <v>41</v>
      </c>
      <c r="E273" s="85">
        <v>18.5</v>
      </c>
      <c r="F273" s="6" t="s">
        <v>1574</v>
      </c>
      <c r="G273" s="6"/>
      <c r="H273" s="6">
        <v>130</v>
      </c>
      <c r="I273" s="3" t="s">
        <v>425</v>
      </c>
      <c r="J273" s="135">
        <v>37421</v>
      </c>
      <c r="K273" s="90" t="s">
        <v>424</v>
      </c>
    </row>
    <row r="274" spans="1:11" ht="12.75">
      <c r="A274" s="85">
        <v>2.6</v>
      </c>
      <c r="B274" s="85">
        <v>58</v>
      </c>
      <c r="C274" s="85">
        <v>19</v>
      </c>
      <c r="D274" s="85">
        <v>54</v>
      </c>
      <c r="E274" s="85">
        <v>34</v>
      </c>
      <c r="F274" s="6" t="s">
        <v>1387</v>
      </c>
      <c r="G274" s="6"/>
      <c r="H274" s="6">
        <v>100</v>
      </c>
      <c r="I274" s="3" t="s">
        <v>449</v>
      </c>
      <c r="J274" s="135">
        <v>37253</v>
      </c>
      <c r="K274" s="90" t="s">
        <v>414</v>
      </c>
    </row>
    <row r="275" spans="1:11" ht="12.75">
      <c r="A275" s="85">
        <v>2.6</v>
      </c>
      <c r="B275" s="85">
        <v>58</v>
      </c>
      <c r="C275" s="85">
        <v>33</v>
      </c>
      <c r="D275" s="85">
        <v>54</v>
      </c>
      <c r="E275" s="85">
        <v>20</v>
      </c>
      <c r="F275" s="6" t="s">
        <v>1574</v>
      </c>
      <c r="G275" s="6"/>
      <c r="H275" s="6">
        <v>135</v>
      </c>
      <c r="I275" s="3" t="s">
        <v>449</v>
      </c>
      <c r="J275" s="135">
        <v>37254</v>
      </c>
      <c r="K275" s="90" t="s">
        <v>414</v>
      </c>
    </row>
    <row r="276" spans="1:10" ht="12.75">
      <c r="A276" s="85">
        <v>2.3</v>
      </c>
      <c r="B276" s="85">
        <v>40.2</v>
      </c>
      <c r="C276" s="85">
        <v>35.1</v>
      </c>
      <c r="D276" s="85">
        <v>40.2</v>
      </c>
      <c r="E276" s="85">
        <v>35.1</v>
      </c>
      <c r="F276" s="6" t="s">
        <v>1387</v>
      </c>
      <c r="G276" s="6"/>
      <c r="H276" s="6">
        <v>100</v>
      </c>
      <c r="I276" s="4" t="s">
        <v>1414</v>
      </c>
      <c r="J276" s="17"/>
    </row>
    <row r="277" spans="1:11" ht="12.75">
      <c r="A277" s="85">
        <v>2.3</v>
      </c>
      <c r="B277" s="85">
        <v>44.5</v>
      </c>
      <c r="C277" s="85">
        <v>36.8</v>
      </c>
      <c r="D277" s="85">
        <v>44.5</v>
      </c>
      <c r="E277" s="85">
        <v>20.3</v>
      </c>
      <c r="F277" s="6" t="s">
        <v>1574</v>
      </c>
      <c r="G277" s="6">
        <v>7</v>
      </c>
      <c r="H277" s="6">
        <v>127</v>
      </c>
      <c r="I277" s="4" t="s">
        <v>1414</v>
      </c>
      <c r="J277" s="17"/>
      <c r="K277" s="90" t="s">
        <v>158</v>
      </c>
    </row>
    <row r="278" spans="1:11" ht="12.75">
      <c r="A278" s="85">
        <v>2.3</v>
      </c>
      <c r="B278" s="85">
        <v>44.5</v>
      </c>
      <c r="C278" s="85">
        <v>29.5</v>
      </c>
      <c r="D278" s="85">
        <v>44.5</v>
      </c>
      <c r="E278" s="85">
        <v>27.9</v>
      </c>
      <c r="F278" s="6" t="s">
        <v>1574</v>
      </c>
      <c r="G278" s="6">
        <v>1</v>
      </c>
      <c r="H278" s="6">
        <v>120</v>
      </c>
      <c r="I278" s="4" t="s">
        <v>278</v>
      </c>
      <c r="J278" s="17"/>
      <c r="K278" s="90" t="s">
        <v>158</v>
      </c>
    </row>
    <row r="279" spans="1:11" ht="12.75">
      <c r="A279" s="85">
        <v>2.4</v>
      </c>
      <c r="B279" s="85">
        <v>66</v>
      </c>
      <c r="C279" s="85">
        <v>36</v>
      </c>
      <c r="D279" s="85">
        <v>66</v>
      </c>
      <c r="E279" s="85">
        <v>36</v>
      </c>
      <c r="F279" s="6" t="s">
        <v>1574</v>
      </c>
      <c r="G279" s="6">
        <v>1</v>
      </c>
      <c r="H279" s="6">
        <v>135</v>
      </c>
      <c r="I279" s="7" t="s">
        <v>163</v>
      </c>
      <c r="J279" s="135">
        <v>37546</v>
      </c>
      <c r="K279" s="90" t="s">
        <v>162</v>
      </c>
    </row>
    <row r="280" spans="1:11" ht="12.75">
      <c r="A280" s="85">
        <v>2.6</v>
      </c>
      <c r="B280" s="85">
        <v>45</v>
      </c>
      <c r="C280" s="85">
        <v>34</v>
      </c>
      <c r="D280" s="85">
        <v>45</v>
      </c>
      <c r="E280" s="85">
        <v>18</v>
      </c>
      <c r="F280" s="6" t="s">
        <v>1574</v>
      </c>
      <c r="G280" s="6"/>
      <c r="H280" s="6">
        <v>135</v>
      </c>
      <c r="I280" s="7" t="s">
        <v>529</v>
      </c>
      <c r="J280" s="135">
        <v>37254</v>
      </c>
      <c r="K280" s="90" t="s">
        <v>414</v>
      </c>
    </row>
    <row r="281" spans="1:11" ht="12.75">
      <c r="A281" s="85">
        <v>2.6</v>
      </c>
      <c r="B281" s="85">
        <v>38</v>
      </c>
      <c r="C281" s="85">
        <v>36</v>
      </c>
      <c r="D281" s="85">
        <v>38</v>
      </c>
      <c r="E281" s="85">
        <v>36</v>
      </c>
      <c r="F281" s="6" t="s">
        <v>1387</v>
      </c>
      <c r="G281" s="6"/>
      <c r="H281" s="6">
        <v>100</v>
      </c>
      <c r="I281" s="7" t="s">
        <v>450</v>
      </c>
      <c r="J281" s="135">
        <v>37253</v>
      </c>
      <c r="K281" s="90" t="s">
        <v>414</v>
      </c>
    </row>
    <row r="282" spans="1:11" ht="12.75">
      <c r="A282" s="85">
        <v>2.6</v>
      </c>
      <c r="B282" s="85">
        <v>45</v>
      </c>
      <c r="C282" s="85">
        <v>35</v>
      </c>
      <c r="D282" s="85">
        <v>45</v>
      </c>
      <c r="E282" s="85">
        <v>22</v>
      </c>
      <c r="F282" s="6" t="s">
        <v>1574</v>
      </c>
      <c r="G282" s="6"/>
      <c r="H282" s="6">
        <v>135</v>
      </c>
      <c r="I282" s="7" t="s">
        <v>450</v>
      </c>
      <c r="J282" s="135">
        <v>37254</v>
      </c>
      <c r="K282" s="90" t="s">
        <v>414</v>
      </c>
    </row>
    <row r="283" spans="1:11" ht="12.75">
      <c r="A283" s="85">
        <v>2.6</v>
      </c>
      <c r="B283" s="85">
        <v>60</v>
      </c>
      <c r="C283" s="85">
        <v>34</v>
      </c>
      <c r="D283" s="85">
        <v>60</v>
      </c>
      <c r="E283" s="85">
        <v>20</v>
      </c>
      <c r="F283" s="6" t="s">
        <v>1574</v>
      </c>
      <c r="G283" s="6"/>
      <c r="H283" s="6">
        <v>135</v>
      </c>
      <c r="I283" s="7" t="s">
        <v>531</v>
      </c>
      <c r="J283" s="135">
        <v>37254</v>
      </c>
      <c r="K283" s="90" t="s">
        <v>414</v>
      </c>
    </row>
    <row r="284" spans="1:11" ht="12.75">
      <c r="A284" s="85">
        <v>2.6</v>
      </c>
      <c r="B284" s="85">
        <v>56</v>
      </c>
      <c r="C284" s="85">
        <v>30</v>
      </c>
      <c r="D284" s="85">
        <v>56</v>
      </c>
      <c r="E284" s="85">
        <v>30</v>
      </c>
      <c r="F284" s="6" t="s">
        <v>1574</v>
      </c>
      <c r="G284" s="6"/>
      <c r="H284" s="6">
        <v>160</v>
      </c>
      <c r="I284" s="7" t="s">
        <v>532</v>
      </c>
      <c r="J284" s="135">
        <v>37254</v>
      </c>
      <c r="K284" s="90" t="s">
        <v>414</v>
      </c>
    </row>
    <row r="285" spans="1:11" ht="12.75">
      <c r="A285" s="85">
        <v>2.6</v>
      </c>
      <c r="B285" s="85">
        <v>60</v>
      </c>
      <c r="C285" s="85">
        <v>22.6</v>
      </c>
      <c r="D285" s="85">
        <v>60</v>
      </c>
      <c r="E285" s="85">
        <v>31.4</v>
      </c>
      <c r="F285" s="6" t="s">
        <v>1387</v>
      </c>
      <c r="G285" s="6"/>
      <c r="H285" s="6">
        <v>110</v>
      </c>
      <c r="I285" s="7" t="s">
        <v>451</v>
      </c>
      <c r="J285" s="135">
        <v>37253</v>
      </c>
      <c r="K285" s="90" t="s">
        <v>414</v>
      </c>
    </row>
    <row r="286" spans="1:11" ht="12.75">
      <c r="A286" s="85">
        <v>2.6</v>
      </c>
      <c r="B286" s="85">
        <v>60</v>
      </c>
      <c r="C286" s="85">
        <v>33.5</v>
      </c>
      <c r="D286" s="85">
        <v>60</v>
      </c>
      <c r="E286" s="85">
        <v>33.5</v>
      </c>
      <c r="F286" s="6" t="s">
        <v>1574</v>
      </c>
      <c r="G286" s="6"/>
      <c r="H286" s="6">
        <v>160</v>
      </c>
      <c r="I286" s="7" t="s">
        <v>530</v>
      </c>
      <c r="J286" s="135">
        <v>37254</v>
      </c>
      <c r="K286" s="90" t="s">
        <v>414</v>
      </c>
    </row>
    <row r="287" spans="1:11" ht="12.75">
      <c r="A287" s="85">
        <v>2.8</v>
      </c>
      <c r="B287" s="85">
        <v>55</v>
      </c>
      <c r="C287" s="85">
        <v>17</v>
      </c>
      <c r="D287" s="85">
        <v>55</v>
      </c>
      <c r="E287" s="85">
        <v>43</v>
      </c>
      <c r="F287" s="6" t="s">
        <v>1387</v>
      </c>
      <c r="G287" s="6"/>
      <c r="H287" s="6"/>
      <c r="I287" s="7" t="s">
        <v>452</v>
      </c>
      <c r="J287" s="135">
        <v>37253</v>
      </c>
      <c r="K287" s="90" t="s">
        <v>414</v>
      </c>
    </row>
    <row r="288" spans="1:11" ht="12.75">
      <c r="A288" s="85">
        <v>2.6</v>
      </c>
      <c r="B288" s="85">
        <v>62</v>
      </c>
      <c r="C288" s="85">
        <v>34.5</v>
      </c>
      <c r="D288" s="85">
        <v>62</v>
      </c>
      <c r="E288" s="85">
        <v>34.5</v>
      </c>
      <c r="F288" s="6" t="s">
        <v>1387</v>
      </c>
      <c r="G288" s="6"/>
      <c r="H288" s="6">
        <v>100</v>
      </c>
      <c r="I288" s="7" t="s">
        <v>622</v>
      </c>
      <c r="J288" s="135">
        <v>39124</v>
      </c>
      <c r="K288" s="90" t="s">
        <v>623</v>
      </c>
    </row>
    <row r="289" spans="1:11" ht="12.75">
      <c r="A289" s="85">
        <v>2.6</v>
      </c>
      <c r="B289" s="85">
        <v>62</v>
      </c>
      <c r="C289" s="85">
        <v>31</v>
      </c>
      <c r="D289" s="85">
        <v>62</v>
      </c>
      <c r="E289" s="85">
        <v>31</v>
      </c>
      <c r="F289" s="6" t="s">
        <v>1574</v>
      </c>
      <c r="G289" s="6"/>
      <c r="H289" s="6">
        <v>120</v>
      </c>
      <c r="I289" s="7" t="s">
        <v>622</v>
      </c>
      <c r="J289" s="135">
        <v>39124</v>
      </c>
      <c r="K289" s="90" t="s">
        <v>623</v>
      </c>
    </row>
    <row r="290" spans="1:11" ht="12.75">
      <c r="A290" s="85">
        <v>2.5</v>
      </c>
      <c r="B290" s="85">
        <v>56</v>
      </c>
      <c r="C290" s="85">
        <f>135/2-35</f>
        <v>32.5</v>
      </c>
      <c r="D290" s="85">
        <v>56</v>
      </c>
      <c r="E290" s="85">
        <f>135/2-50</f>
        <v>17.5</v>
      </c>
      <c r="F290" s="6" t="s">
        <v>1574</v>
      </c>
      <c r="G290" s="6" t="s">
        <v>1577</v>
      </c>
      <c r="H290" s="6">
        <v>135</v>
      </c>
      <c r="I290" s="7" t="s">
        <v>946</v>
      </c>
      <c r="J290" s="135">
        <v>37566</v>
      </c>
      <c r="K290" s="90" t="s">
        <v>158</v>
      </c>
    </row>
    <row r="291" spans="1:11" ht="12.75">
      <c r="A291" s="85">
        <v>2.5</v>
      </c>
      <c r="B291" s="85">
        <v>58</v>
      </c>
      <c r="C291" s="85">
        <v>23</v>
      </c>
      <c r="D291" s="85">
        <v>48</v>
      </c>
      <c r="E291" s="85">
        <v>34.7</v>
      </c>
      <c r="F291" s="6" t="s">
        <v>1387</v>
      </c>
      <c r="G291" s="6"/>
      <c r="H291" s="6">
        <v>100</v>
      </c>
      <c r="I291" s="7" t="s">
        <v>454</v>
      </c>
      <c r="J291" s="135">
        <v>37253</v>
      </c>
      <c r="K291" s="90" t="s">
        <v>414</v>
      </c>
    </row>
    <row r="292" spans="1:11" ht="12.75">
      <c r="A292" s="85">
        <v>2.5</v>
      </c>
      <c r="B292" s="85">
        <v>58</v>
      </c>
      <c r="C292" s="85">
        <v>33.25</v>
      </c>
      <c r="D292" s="85">
        <v>47</v>
      </c>
      <c r="E292" s="85">
        <v>20</v>
      </c>
      <c r="F292" s="6" t="s">
        <v>1574</v>
      </c>
      <c r="G292" s="6"/>
      <c r="H292" s="6">
        <v>135</v>
      </c>
      <c r="I292" s="7" t="s">
        <v>454</v>
      </c>
      <c r="J292" s="135">
        <v>37254</v>
      </c>
      <c r="K292" s="90" t="s">
        <v>414</v>
      </c>
    </row>
    <row r="293" spans="1:11" ht="12.75">
      <c r="A293" s="85">
        <v>2.5</v>
      </c>
      <c r="B293" s="85">
        <v>58</v>
      </c>
      <c r="C293" s="85">
        <v>22.8</v>
      </c>
      <c r="D293" s="85">
        <v>58</v>
      </c>
      <c r="E293" s="85">
        <v>31.5</v>
      </c>
      <c r="F293" s="6" t="s">
        <v>1387</v>
      </c>
      <c r="G293" s="6"/>
      <c r="H293" s="6">
        <v>110</v>
      </c>
      <c r="I293" s="7" t="s">
        <v>455</v>
      </c>
      <c r="J293" s="135">
        <v>37253</v>
      </c>
      <c r="K293" s="90" t="s">
        <v>414</v>
      </c>
    </row>
    <row r="294" spans="1:11" ht="12.75">
      <c r="A294" s="85">
        <v>2.5</v>
      </c>
      <c r="B294" s="85">
        <v>58</v>
      </c>
      <c r="C294" s="85">
        <v>22</v>
      </c>
      <c r="D294" s="85">
        <v>46</v>
      </c>
      <c r="E294" s="85">
        <v>34.8</v>
      </c>
      <c r="F294" s="6" t="s">
        <v>1387</v>
      </c>
      <c r="G294" s="6"/>
      <c r="H294" s="6">
        <v>100</v>
      </c>
      <c r="I294" s="7" t="s">
        <v>453</v>
      </c>
      <c r="J294" s="135">
        <v>37253</v>
      </c>
      <c r="K294" s="90" t="s">
        <v>414</v>
      </c>
    </row>
    <row r="295" spans="1:11" ht="12.75">
      <c r="A295" s="85">
        <v>2.5</v>
      </c>
      <c r="B295" s="85">
        <v>58</v>
      </c>
      <c r="C295" s="85">
        <v>33.5</v>
      </c>
      <c r="D295" s="85">
        <v>46</v>
      </c>
      <c r="E295" s="85">
        <v>19.2</v>
      </c>
      <c r="F295" s="6" t="s">
        <v>1574</v>
      </c>
      <c r="G295" s="6"/>
      <c r="H295" s="6">
        <v>135</v>
      </c>
      <c r="I295" s="7" t="s">
        <v>453</v>
      </c>
      <c r="J295" s="135">
        <v>37254</v>
      </c>
      <c r="K295" s="90" t="s">
        <v>414</v>
      </c>
    </row>
    <row r="296" spans="1:10" ht="12.75">
      <c r="A296" s="85">
        <v>2.4</v>
      </c>
      <c r="B296" s="85">
        <v>31.5</v>
      </c>
      <c r="C296" s="85">
        <v>32</v>
      </c>
      <c r="D296" s="85">
        <v>31.5</v>
      </c>
      <c r="E296" s="85">
        <v>32</v>
      </c>
      <c r="F296" s="6" t="s">
        <v>1387</v>
      </c>
      <c r="G296" s="6"/>
      <c r="H296" s="6">
        <v>100</v>
      </c>
      <c r="I296" s="3" t="s">
        <v>1415</v>
      </c>
      <c r="J296" s="17"/>
    </row>
    <row r="297" spans="1:10" ht="12.75">
      <c r="A297" s="85">
        <v>2.4</v>
      </c>
      <c r="B297" s="85">
        <v>31.5</v>
      </c>
      <c r="C297" s="85">
        <v>34</v>
      </c>
      <c r="D297" s="85">
        <v>31.5</v>
      </c>
      <c r="E297" s="85">
        <v>34</v>
      </c>
      <c r="F297" s="6" t="s">
        <v>1387</v>
      </c>
      <c r="G297" s="6"/>
      <c r="H297" s="6">
        <v>100</v>
      </c>
      <c r="I297" s="3" t="s">
        <v>1416</v>
      </c>
      <c r="J297" s="17"/>
    </row>
    <row r="298" spans="1:10" ht="12.75">
      <c r="A298" s="85">
        <v>2.4</v>
      </c>
      <c r="B298" s="85">
        <v>44.5</v>
      </c>
      <c r="C298" s="85">
        <v>34</v>
      </c>
      <c r="D298" s="85">
        <v>44.5</v>
      </c>
      <c r="E298" s="85">
        <v>34</v>
      </c>
      <c r="F298" s="6" t="s">
        <v>1387</v>
      </c>
      <c r="G298" s="6"/>
      <c r="H298" s="6">
        <v>100</v>
      </c>
      <c r="I298" s="3" t="s">
        <v>1417</v>
      </c>
      <c r="J298" s="17"/>
    </row>
    <row r="299" spans="1:10" ht="12.75">
      <c r="A299" s="85">
        <v>2.4</v>
      </c>
      <c r="B299" s="85">
        <v>36.5</v>
      </c>
      <c r="C299" s="85">
        <v>33</v>
      </c>
      <c r="D299" s="85">
        <v>48</v>
      </c>
      <c r="E299" s="85">
        <v>21</v>
      </c>
      <c r="F299" s="6" t="s">
        <v>1574</v>
      </c>
      <c r="G299" s="6"/>
      <c r="H299" s="6">
        <v>135</v>
      </c>
      <c r="I299" s="3" t="s">
        <v>96</v>
      </c>
      <c r="J299" s="17"/>
    </row>
    <row r="300" spans="1:11" ht="12.75">
      <c r="A300" s="85">
        <v>2.6</v>
      </c>
      <c r="B300" s="85">
        <v>33</v>
      </c>
      <c r="C300" s="85">
        <v>32</v>
      </c>
      <c r="D300" s="85">
        <v>33</v>
      </c>
      <c r="E300" s="85">
        <v>32</v>
      </c>
      <c r="F300" s="6" t="s">
        <v>1387</v>
      </c>
      <c r="G300" s="6"/>
      <c r="H300" s="6">
        <v>100</v>
      </c>
      <c r="I300" s="3" t="s">
        <v>456</v>
      </c>
      <c r="J300" s="135">
        <v>37253</v>
      </c>
      <c r="K300" s="90" t="s">
        <v>414</v>
      </c>
    </row>
    <row r="301" spans="1:11" ht="12.75">
      <c r="A301" s="85">
        <v>2.6</v>
      </c>
      <c r="B301" s="85">
        <v>45</v>
      </c>
      <c r="C301" s="85">
        <v>33</v>
      </c>
      <c r="D301" s="85">
        <v>44</v>
      </c>
      <c r="E301" s="85">
        <v>20</v>
      </c>
      <c r="F301" s="6" t="s">
        <v>1574</v>
      </c>
      <c r="G301" s="6"/>
      <c r="H301" s="6">
        <v>135</v>
      </c>
      <c r="I301" s="3" t="s">
        <v>456</v>
      </c>
      <c r="J301" s="135">
        <v>37254</v>
      </c>
      <c r="K301" s="90" t="s">
        <v>414</v>
      </c>
    </row>
    <row r="302" spans="1:11" ht="12.75">
      <c r="A302" s="85">
        <v>2.6</v>
      </c>
      <c r="B302" s="85">
        <v>46</v>
      </c>
      <c r="C302" s="85">
        <v>24</v>
      </c>
      <c r="D302" s="85">
        <v>33</v>
      </c>
      <c r="E302" s="85">
        <v>26</v>
      </c>
      <c r="F302" s="6" t="s">
        <v>1387</v>
      </c>
      <c r="G302" s="6"/>
      <c r="H302" s="6">
        <v>100</v>
      </c>
      <c r="I302" s="3" t="s">
        <v>458</v>
      </c>
      <c r="J302" s="135">
        <v>37253</v>
      </c>
      <c r="K302" s="90" t="s">
        <v>414</v>
      </c>
    </row>
    <row r="303" spans="1:11" ht="12.75">
      <c r="A303" s="85">
        <v>2.6</v>
      </c>
      <c r="B303" s="85">
        <v>46</v>
      </c>
      <c r="C303" s="85">
        <v>39</v>
      </c>
      <c r="D303" s="85">
        <v>44</v>
      </c>
      <c r="E303" s="85">
        <v>19</v>
      </c>
      <c r="F303" s="6" t="s">
        <v>1574</v>
      </c>
      <c r="G303" s="6"/>
      <c r="H303" s="6">
        <v>135</v>
      </c>
      <c r="I303" s="3" t="s">
        <v>458</v>
      </c>
      <c r="J303" s="135">
        <v>37254</v>
      </c>
      <c r="K303" s="90" t="s">
        <v>414</v>
      </c>
    </row>
    <row r="304" spans="1:11" ht="12.75">
      <c r="A304" s="85">
        <v>2.6</v>
      </c>
      <c r="B304" s="85">
        <v>29</v>
      </c>
      <c r="C304" s="85">
        <v>34</v>
      </c>
      <c r="D304" s="85">
        <v>29</v>
      </c>
      <c r="E304" s="85">
        <v>34</v>
      </c>
      <c r="F304" s="6" t="s">
        <v>1387</v>
      </c>
      <c r="G304" s="6"/>
      <c r="H304" s="6">
        <v>100</v>
      </c>
      <c r="I304" s="3" t="s">
        <v>457</v>
      </c>
      <c r="J304" s="135">
        <v>37253</v>
      </c>
      <c r="K304" s="90" t="s">
        <v>414</v>
      </c>
    </row>
    <row r="305" spans="1:10" ht="12.75">
      <c r="A305" s="85">
        <v>3</v>
      </c>
      <c r="B305" s="85">
        <v>34.7</v>
      </c>
      <c r="C305" s="85">
        <v>32.8</v>
      </c>
      <c r="D305" s="85">
        <v>54</v>
      </c>
      <c r="E305" s="85">
        <v>19</v>
      </c>
      <c r="F305" s="6" t="s">
        <v>1574</v>
      </c>
      <c r="G305" s="6">
        <v>8</v>
      </c>
      <c r="H305" s="6">
        <v>130</v>
      </c>
      <c r="I305" s="4" t="s">
        <v>97</v>
      </c>
      <c r="J305" s="17"/>
    </row>
    <row r="306" spans="1:11" ht="12.75">
      <c r="A306" s="85">
        <v>2.6</v>
      </c>
      <c r="B306" s="85">
        <v>62</v>
      </c>
      <c r="C306" s="85">
        <v>20</v>
      </c>
      <c r="D306" s="85">
        <v>62</v>
      </c>
      <c r="E306" s="85">
        <v>25</v>
      </c>
      <c r="F306" s="6" t="s">
        <v>1387</v>
      </c>
      <c r="G306" s="6"/>
      <c r="H306" s="6">
        <v>100</v>
      </c>
      <c r="I306" s="3" t="s">
        <v>463</v>
      </c>
      <c r="J306" s="135">
        <v>37253</v>
      </c>
      <c r="K306" s="90" t="s">
        <v>414</v>
      </c>
    </row>
    <row r="307" spans="1:11" ht="12.75">
      <c r="A307" s="85">
        <v>2.6</v>
      </c>
      <c r="B307" s="85">
        <v>62</v>
      </c>
      <c r="C307" s="85">
        <v>25</v>
      </c>
      <c r="D307" s="85">
        <v>62</v>
      </c>
      <c r="E307" s="85">
        <v>20</v>
      </c>
      <c r="F307" s="6" t="s">
        <v>1574</v>
      </c>
      <c r="G307" s="6"/>
      <c r="H307" s="6">
        <v>135</v>
      </c>
      <c r="I307" s="3" t="s">
        <v>463</v>
      </c>
      <c r="J307" s="135">
        <v>37254</v>
      </c>
      <c r="K307" s="90" t="s">
        <v>414</v>
      </c>
    </row>
    <row r="308" spans="1:11" ht="12.75">
      <c r="A308" s="85">
        <v>2.6</v>
      </c>
      <c r="B308" s="85">
        <v>46</v>
      </c>
      <c r="C308" s="85">
        <v>21</v>
      </c>
      <c r="D308" s="85">
        <v>46</v>
      </c>
      <c r="E308" s="85">
        <v>34</v>
      </c>
      <c r="F308" s="6" t="s">
        <v>1387</v>
      </c>
      <c r="G308" s="6"/>
      <c r="H308" s="6">
        <v>100</v>
      </c>
      <c r="I308" s="3" t="s">
        <v>461</v>
      </c>
      <c r="J308" s="135">
        <v>37253</v>
      </c>
      <c r="K308" s="90" t="s">
        <v>414</v>
      </c>
    </row>
    <row r="309" spans="1:11" ht="12.75">
      <c r="A309" s="85">
        <v>2.6</v>
      </c>
      <c r="B309" s="85">
        <v>44</v>
      </c>
      <c r="C309" s="85">
        <v>33</v>
      </c>
      <c r="D309" s="85">
        <v>50</v>
      </c>
      <c r="E309" s="85">
        <v>20</v>
      </c>
      <c r="F309" s="6" t="s">
        <v>1574</v>
      </c>
      <c r="G309" s="6"/>
      <c r="H309" s="6">
        <v>135</v>
      </c>
      <c r="I309" s="3" t="s">
        <v>461</v>
      </c>
      <c r="J309" s="135">
        <v>37254</v>
      </c>
      <c r="K309" s="90" t="s">
        <v>414</v>
      </c>
    </row>
    <row r="310" spans="1:11" ht="12.75">
      <c r="A310" s="85">
        <v>2.6</v>
      </c>
      <c r="B310" s="85">
        <v>56</v>
      </c>
      <c r="C310" s="85">
        <v>21</v>
      </c>
      <c r="D310" s="85">
        <v>46.7</v>
      </c>
      <c r="E310" s="85">
        <v>33</v>
      </c>
      <c r="F310" s="6" t="s">
        <v>1387</v>
      </c>
      <c r="G310" s="6"/>
      <c r="H310" s="6">
        <v>100</v>
      </c>
      <c r="I310" s="3" t="s">
        <v>462</v>
      </c>
      <c r="J310" s="135">
        <v>37253</v>
      </c>
      <c r="K310" s="90" t="s">
        <v>414</v>
      </c>
    </row>
    <row r="311" spans="1:11" ht="12.75">
      <c r="A311" s="85">
        <v>2.6</v>
      </c>
      <c r="B311" s="85">
        <v>56</v>
      </c>
      <c r="C311" s="85">
        <v>33</v>
      </c>
      <c r="D311" s="85">
        <v>49</v>
      </c>
      <c r="E311" s="85">
        <v>19</v>
      </c>
      <c r="F311" s="6" t="s">
        <v>1574</v>
      </c>
      <c r="G311" s="6"/>
      <c r="H311" s="6">
        <v>135</v>
      </c>
      <c r="I311" s="3" t="s">
        <v>462</v>
      </c>
      <c r="J311" s="135">
        <v>37254</v>
      </c>
      <c r="K311" s="90" t="s">
        <v>414</v>
      </c>
    </row>
    <row r="312" spans="1:11" ht="12.75">
      <c r="A312" s="85">
        <v>2.6</v>
      </c>
      <c r="B312" s="85">
        <v>42</v>
      </c>
      <c r="C312" s="85">
        <v>22</v>
      </c>
      <c r="D312" s="85">
        <v>42</v>
      </c>
      <c r="E312" s="85">
        <v>32</v>
      </c>
      <c r="F312" s="6" t="s">
        <v>1387</v>
      </c>
      <c r="G312" s="6"/>
      <c r="H312" s="6">
        <v>100</v>
      </c>
      <c r="I312" s="3" t="s">
        <v>459</v>
      </c>
      <c r="J312" s="135">
        <v>37253</v>
      </c>
      <c r="K312" s="90" t="s">
        <v>414</v>
      </c>
    </row>
    <row r="313" spans="1:11" ht="12.75">
      <c r="A313" s="85">
        <v>2.6</v>
      </c>
      <c r="B313" s="85">
        <v>42</v>
      </c>
      <c r="C313" s="85">
        <v>33</v>
      </c>
      <c r="D313" s="85">
        <v>45</v>
      </c>
      <c r="E313" s="85">
        <v>20</v>
      </c>
      <c r="F313" s="6" t="s">
        <v>1574</v>
      </c>
      <c r="G313" s="6"/>
      <c r="H313" s="6">
        <v>135</v>
      </c>
      <c r="I313" s="3" t="s">
        <v>459</v>
      </c>
      <c r="J313" s="135">
        <v>37254</v>
      </c>
      <c r="K313" s="90" t="s">
        <v>414</v>
      </c>
    </row>
    <row r="314" spans="1:10" ht="12.75">
      <c r="A314" s="85">
        <v>2.4</v>
      </c>
      <c r="B314" s="85">
        <v>41</v>
      </c>
      <c r="C314" s="85">
        <v>34.5</v>
      </c>
      <c r="D314" s="85">
        <v>41</v>
      </c>
      <c r="E314" s="85">
        <v>34.5</v>
      </c>
      <c r="F314" s="6" t="s">
        <v>1387</v>
      </c>
      <c r="G314" s="6"/>
      <c r="H314" s="6">
        <v>100</v>
      </c>
      <c r="I314" s="3" t="s">
        <v>1418</v>
      </c>
      <c r="J314" s="17"/>
    </row>
    <row r="315" spans="1:11" ht="12.75">
      <c r="A315" s="85">
        <v>2.6</v>
      </c>
      <c r="B315" s="85">
        <v>56</v>
      </c>
      <c r="C315" s="85">
        <v>20</v>
      </c>
      <c r="D315" s="85">
        <v>45</v>
      </c>
      <c r="E315" s="85">
        <v>34</v>
      </c>
      <c r="F315" s="6" t="s">
        <v>1387</v>
      </c>
      <c r="G315" s="6"/>
      <c r="H315" s="6">
        <v>100</v>
      </c>
      <c r="I315" s="3" t="s">
        <v>464</v>
      </c>
      <c r="J315" s="135">
        <v>37253</v>
      </c>
      <c r="K315" s="90" t="s">
        <v>414</v>
      </c>
    </row>
    <row r="316" spans="1:11" ht="12.75">
      <c r="A316" s="85">
        <v>2.6</v>
      </c>
      <c r="B316" s="85">
        <v>45</v>
      </c>
      <c r="C316" s="85">
        <v>33</v>
      </c>
      <c r="D316" s="85">
        <v>45</v>
      </c>
      <c r="E316" s="85">
        <v>20</v>
      </c>
      <c r="F316" s="6" t="s">
        <v>1574</v>
      </c>
      <c r="G316" s="6"/>
      <c r="H316" s="6">
        <v>135</v>
      </c>
      <c r="I316" s="3" t="s">
        <v>464</v>
      </c>
      <c r="J316" s="135">
        <v>37254</v>
      </c>
      <c r="K316" s="90" t="s">
        <v>414</v>
      </c>
    </row>
    <row r="317" spans="1:10" ht="12.75">
      <c r="A317" s="85">
        <v>2.4</v>
      </c>
      <c r="B317" s="85">
        <v>25</v>
      </c>
      <c r="C317" s="85">
        <v>34</v>
      </c>
      <c r="D317" s="85">
        <v>25</v>
      </c>
      <c r="E317" s="85">
        <v>34</v>
      </c>
      <c r="F317" s="6" t="s">
        <v>1387</v>
      </c>
      <c r="G317" s="6"/>
      <c r="H317" s="6">
        <v>100</v>
      </c>
      <c r="I317" s="3" t="s">
        <v>1419</v>
      </c>
      <c r="J317" s="17"/>
    </row>
    <row r="318" spans="1:10" ht="12.75">
      <c r="A318" s="85">
        <v>2.4</v>
      </c>
      <c r="B318" s="85">
        <v>43</v>
      </c>
      <c r="C318" s="85">
        <v>32</v>
      </c>
      <c r="D318" s="85">
        <v>43</v>
      </c>
      <c r="E318" s="85">
        <v>32</v>
      </c>
      <c r="F318" s="6" t="s">
        <v>1387</v>
      </c>
      <c r="G318" s="6"/>
      <c r="H318" s="6">
        <v>100</v>
      </c>
      <c r="I318" s="3" t="s">
        <v>1420</v>
      </c>
      <c r="J318" s="17"/>
    </row>
    <row r="319" spans="1:10" ht="12.75">
      <c r="A319" s="85">
        <v>2.4</v>
      </c>
      <c r="B319" s="85">
        <v>65</v>
      </c>
      <c r="C319" s="85">
        <v>32.5</v>
      </c>
      <c r="D319" s="85">
        <v>65</v>
      </c>
      <c r="E319" s="85">
        <v>32.5</v>
      </c>
      <c r="F319" s="6" t="s">
        <v>1387</v>
      </c>
      <c r="G319" s="6"/>
      <c r="H319" s="6">
        <v>100</v>
      </c>
      <c r="I319" s="3" t="s">
        <v>1421</v>
      </c>
      <c r="J319" s="17"/>
    </row>
    <row r="320" spans="1:10" ht="12.75">
      <c r="A320" s="85">
        <v>2.4</v>
      </c>
      <c r="B320" s="85">
        <v>65</v>
      </c>
      <c r="C320" s="85">
        <v>27.5</v>
      </c>
      <c r="D320" s="85">
        <v>65</v>
      </c>
      <c r="E320" s="85">
        <v>22.5</v>
      </c>
      <c r="F320" s="6" t="s">
        <v>1574</v>
      </c>
      <c r="G320" s="6"/>
      <c r="H320" s="6">
        <v>140</v>
      </c>
      <c r="I320" s="3" t="s">
        <v>1421</v>
      </c>
      <c r="J320" s="17"/>
    </row>
    <row r="321" spans="1:10" ht="12.75">
      <c r="A321" s="85">
        <v>2.4</v>
      </c>
      <c r="B321" s="85">
        <v>43</v>
      </c>
      <c r="C321" s="85">
        <v>32</v>
      </c>
      <c r="D321" s="85">
        <v>43</v>
      </c>
      <c r="E321" s="85">
        <v>32</v>
      </c>
      <c r="F321" s="6" t="s">
        <v>1387</v>
      </c>
      <c r="G321" s="6"/>
      <c r="H321" s="6">
        <v>100</v>
      </c>
      <c r="I321" s="3" t="s">
        <v>1422</v>
      </c>
      <c r="J321" s="17"/>
    </row>
    <row r="322" spans="1:10" ht="12.75">
      <c r="A322" s="85">
        <v>2.4</v>
      </c>
      <c r="B322" s="85">
        <v>43</v>
      </c>
      <c r="C322" s="85">
        <v>22.5</v>
      </c>
      <c r="D322" s="85">
        <v>43</v>
      </c>
      <c r="E322" s="85">
        <v>22.5</v>
      </c>
      <c r="F322" s="6" t="s">
        <v>1387</v>
      </c>
      <c r="G322" s="6"/>
      <c r="H322" s="6">
        <v>100</v>
      </c>
      <c r="I322" s="3" t="s">
        <v>1423</v>
      </c>
      <c r="J322" s="17"/>
    </row>
    <row r="323" spans="1:10" ht="12.75">
      <c r="A323" s="85">
        <v>2.4</v>
      </c>
      <c r="B323" s="85">
        <v>34</v>
      </c>
      <c r="C323" s="85">
        <v>34</v>
      </c>
      <c r="D323" s="85">
        <v>34</v>
      </c>
      <c r="E323" s="85">
        <v>34</v>
      </c>
      <c r="F323" s="6" t="s">
        <v>1387</v>
      </c>
      <c r="G323" s="6"/>
      <c r="H323" s="6">
        <v>100</v>
      </c>
      <c r="I323" s="3" t="s">
        <v>1424</v>
      </c>
      <c r="J323" s="17"/>
    </row>
    <row r="324" spans="1:11" ht="12.75">
      <c r="A324" s="85">
        <v>2.6</v>
      </c>
      <c r="B324" s="85">
        <v>43</v>
      </c>
      <c r="C324" s="85">
        <v>22</v>
      </c>
      <c r="D324" s="85">
        <v>41</v>
      </c>
      <c r="E324" s="85">
        <v>32.5</v>
      </c>
      <c r="F324" s="6" t="s">
        <v>1387</v>
      </c>
      <c r="G324" s="6"/>
      <c r="H324" s="6">
        <v>100</v>
      </c>
      <c r="I324" s="3" t="s">
        <v>460</v>
      </c>
      <c r="J324" s="135">
        <v>37253</v>
      </c>
      <c r="K324" s="90" t="s">
        <v>414</v>
      </c>
    </row>
    <row r="325" spans="1:11" ht="12.75">
      <c r="A325" s="85">
        <v>2.6</v>
      </c>
      <c r="B325" s="85">
        <v>43</v>
      </c>
      <c r="C325" s="85">
        <v>33</v>
      </c>
      <c r="D325" s="85">
        <v>44.5</v>
      </c>
      <c r="E325" s="85">
        <v>20</v>
      </c>
      <c r="F325" s="6" t="s">
        <v>1574</v>
      </c>
      <c r="G325" s="6"/>
      <c r="H325" s="6">
        <v>135</v>
      </c>
      <c r="I325" s="3" t="s">
        <v>460</v>
      </c>
      <c r="J325" s="135">
        <v>37254</v>
      </c>
      <c r="K325" s="90" t="s">
        <v>414</v>
      </c>
    </row>
    <row r="326" spans="1:10" ht="12.75">
      <c r="A326" s="85">
        <v>2.4</v>
      </c>
      <c r="B326" s="85">
        <v>45</v>
      </c>
      <c r="C326" s="85">
        <v>37.5</v>
      </c>
      <c r="D326" s="85">
        <v>45</v>
      </c>
      <c r="E326" s="85">
        <v>20</v>
      </c>
      <c r="F326" s="6" t="s">
        <v>1574</v>
      </c>
      <c r="G326" s="6"/>
      <c r="H326" s="6"/>
      <c r="I326" s="3" t="s">
        <v>98</v>
      </c>
      <c r="J326" s="17"/>
    </row>
    <row r="327" spans="1:10" ht="12.75">
      <c r="A327" s="85">
        <v>2.4</v>
      </c>
      <c r="B327" s="85">
        <v>36</v>
      </c>
      <c r="C327" s="85">
        <v>34.95</v>
      </c>
      <c r="D327" s="85">
        <v>36</v>
      </c>
      <c r="E327" s="85">
        <v>34.95</v>
      </c>
      <c r="F327" s="6" t="s">
        <v>1387</v>
      </c>
      <c r="G327" s="6"/>
      <c r="H327" s="6">
        <v>100</v>
      </c>
      <c r="I327" s="3" t="s">
        <v>1425</v>
      </c>
      <c r="J327" s="17"/>
    </row>
    <row r="328" spans="1:10" ht="12.75">
      <c r="A328" s="85">
        <v>2.5</v>
      </c>
      <c r="B328" s="85">
        <v>52.5</v>
      </c>
      <c r="C328" s="85">
        <v>16.95</v>
      </c>
      <c r="D328" s="85">
        <v>46</v>
      </c>
      <c r="E328" s="85">
        <v>35.1</v>
      </c>
      <c r="F328" s="6" t="s">
        <v>1387</v>
      </c>
      <c r="G328" s="6"/>
      <c r="H328" s="6">
        <v>100</v>
      </c>
      <c r="I328" s="3" t="s">
        <v>1426</v>
      </c>
      <c r="J328" s="17"/>
    </row>
    <row r="329" spans="1:10" ht="12.75">
      <c r="A329" s="85">
        <v>2.5</v>
      </c>
      <c r="B329" s="85">
        <v>58</v>
      </c>
      <c r="C329" s="85">
        <v>23.7</v>
      </c>
      <c r="D329" s="85">
        <v>46</v>
      </c>
      <c r="E329" s="85">
        <v>35.1</v>
      </c>
      <c r="F329" s="6" t="s">
        <v>1387</v>
      </c>
      <c r="G329" s="6"/>
      <c r="H329" s="6">
        <v>100</v>
      </c>
      <c r="I329" s="3" t="s">
        <v>1427</v>
      </c>
      <c r="J329" s="17"/>
    </row>
    <row r="330" spans="1:10" ht="12.75">
      <c r="A330" s="85">
        <v>2.8</v>
      </c>
      <c r="B330" s="85">
        <v>60</v>
      </c>
      <c r="C330" s="85">
        <v>23.65</v>
      </c>
      <c r="D330" s="85">
        <v>61</v>
      </c>
      <c r="E330" s="85">
        <v>34.85</v>
      </c>
      <c r="F330" s="6" t="s">
        <v>1387</v>
      </c>
      <c r="G330" s="6"/>
      <c r="H330" s="6">
        <v>100</v>
      </c>
      <c r="I330" s="3" t="s">
        <v>1428</v>
      </c>
      <c r="J330" s="17"/>
    </row>
    <row r="331" spans="1:10" ht="12.75">
      <c r="A331" s="85">
        <v>2.8</v>
      </c>
      <c r="B331" s="85">
        <v>60</v>
      </c>
      <c r="C331" s="85">
        <v>26.6</v>
      </c>
      <c r="D331" s="85">
        <v>61</v>
      </c>
      <c r="E331" s="85">
        <v>29.7</v>
      </c>
      <c r="F331" s="6" t="s">
        <v>1387</v>
      </c>
      <c r="G331" s="6"/>
      <c r="H331" s="6">
        <v>110</v>
      </c>
      <c r="I331" s="3" t="s">
        <v>1429</v>
      </c>
      <c r="J331" s="17"/>
    </row>
    <row r="332" spans="1:10" ht="12.75">
      <c r="A332" s="85">
        <v>2.5</v>
      </c>
      <c r="B332" s="85">
        <v>58</v>
      </c>
      <c r="C332" s="85">
        <v>23.9</v>
      </c>
      <c r="D332" s="85">
        <v>47</v>
      </c>
      <c r="E332" s="85">
        <v>35.6</v>
      </c>
      <c r="F332" s="6" t="s">
        <v>1387</v>
      </c>
      <c r="G332" s="6"/>
      <c r="H332" s="6">
        <v>100</v>
      </c>
      <c r="I332" s="3" t="s">
        <v>1430</v>
      </c>
      <c r="J332" s="17"/>
    </row>
    <row r="333" spans="1:10" ht="12.75">
      <c r="A333" s="85">
        <v>2.4</v>
      </c>
      <c r="B333" s="85">
        <v>45</v>
      </c>
      <c r="C333" s="85">
        <v>39.5</v>
      </c>
      <c r="D333" s="85">
        <v>45</v>
      </c>
      <c r="E333" s="85">
        <v>18</v>
      </c>
      <c r="F333" s="6" t="s">
        <v>1574</v>
      </c>
      <c r="G333" s="6">
        <v>8</v>
      </c>
      <c r="H333" s="6">
        <v>130</v>
      </c>
      <c r="I333" s="3" t="s">
        <v>99</v>
      </c>
      <c r="J333" s="17"/>
    </row>
    <row r="334" spans="1:10" ht="12.75">
      <c r="A334" s="85">
        <v>2.4</v>
      </c>
      <c r="B334" s="85">
        <v>45</v>
      </c>
      <c r="C334" s="85">
        <v>37.5</v>
      </c>
      <c r="D334" s="85">
        <v>45</v>
      </c>
      <c r="E334" s="85">
        <v>20</v>
      </c>
      <c r="F334" s="6" t="s">
        <v>1574</v>
      </c>
      <c r="G334" s="6"/>
      <c r="H334" s="6">
        <v>135</v>
      </c>
      <c r="I334" s="3" t="s">
        <v>99</v>
      </c>
      <c r="J334" s="17"/>
    </row>
    <row r="335" spans="1:10" ht="12.75">
      <c r="A335" s="85">
        <v>2.3</v>
      </c>
      <c r="B335" s="85">
        <v>55</v>
      </c>
      <c r="C335" s="85">
        <v>37</v>
      </c>
      <c r="D335" s="85">
        <v>55</v>
      </c>
      <c r="E335" s="85">
        <v>22</v>
      </c>
      <c r="F335" s="6" t="s">
        <v>1574</v>
      </c>
      <c r="G335" s="6">
        <v>8</v>
      </c>
      <c r="H335" s="6"/>
      <c r="I335" s="7" t="s">
        <v>100</v>
      </c>
      <c r="J335" s="17"/>
    </row>
    <row r="336" spans="1:10" ht="12.75">
      <c r="A336" s="85">
        <v>2.4</v>
      </c>
      <c r="B336" s="85">
        <v>41</v>
      </c>
      <c r="C336" s="85">
        <v>35</v>
      </c>
      <c r="D336" s="85">
        <v>41</v>
      </c>
      <c r="E336" s="85">
        <v>35</v>
      </c>
      <c r="F336" s="6" t="s">
        <v>1387</v>
      </c>
      <c r="G336" s="6"/>
      <c r="H336" s="6">
        <v>100</v>
      </c>
      <c r="I336" s="3" t="s">
        <v>1431</v>
      </c>
      <c r="J336" s="17"/>
    </row>
    <row r="337" spans="1:10" ht="12.75">
      <c r="A337" s="85">
        <v>2.4</v>
      </c>
      <c r="B337" s="85">
        <v>55</v>
      </c>
      <c r="C337" s="85">
        <v>33.5</v>
      </c>
      <c r="D337" s="85">
        <v>55</v>
      </c>
      <c r="E337" s="85">
        <v>24</v>
      </c>
      <c r="F337" s="6" t="s">
        <v>1574</v>
      </c>
      <c r="G337" s="6"/>
      <c r="H337" s="6">
        <v>140</v>
      </c>
      <c r="I337" s="3" t="s">
        <v>1431</v>
      </c>
      <c r="J337" s="17"/>
    </row>
    <row r="338" spans="1:10" ht="12.75">
      <c r="A338" s="85">
        <v>2.8</v>
      </c>
      <c r="B338" s="85">
        <v>60</v>
      </c>
      <c r="C338" s="85">
        <v>34.5</v>
      </c>
      <c r="D338" s="85">
        <v>60</v>
      </c>
      <c r="E338" s="85">
        <v>34.5</v>
      </c>
      <c r="F338" s="6" t="s">
        <v>1387</v>
      </c>
      <c r="G338" s="6"/>
      <c r="H338" s="6">
        <v>100</v>
      </c>
      <c r="I338" s="3" t="s">
        <v>1432</v>
      </c>
      <c r="J338" s="17"/>
    </row>
    <row r="339" spans="1:10" ht="12.75">
      <c r="A339" s="85">
        <v>2.8</v>
      </c>
      <c r="B339" s="85">
        <v>60</v>
      </c>
      <c r="C339" s="85">
        <v>34.5</v>
      </c>
      <c r="D339" s="85">
        <v>60</v>
      </c>
      <c r="E339" s="85">
        <v>34.5</v>
      </c>
      <c r="F339" s="6" t="s">
        <v>1387</v>
      </c>
      <c r="G339" s="6"/>
      <c r="H339" s="6">
        <v>100</v>
      </c>
      <c r="I339" s="3" t="s">
        <v>1433</v>
      </c>
      <c r="J339" s="17"/>
    </row>
    <row r="340" spans="1:10" ht="12.75">
      <c r="A340" s="85">
        <v>2.8</v>
      </c>
      <c r="B340" s="85">
        <v>60</v>
      </c>
      <c r="C340" s="85">
        <v>31.25</v>
      </c>
      <c r="D340" s="85">
        <v>60</v>
      </c>
      <c r="E340" s="85">
        <v>21.45</v>
      </c>
      <c r="F340" s="6" t="s">
        <v>1574</v>
      </c>
      <c r="G340" s="49" t="s">
        <v>1577</v>
      </c>
      <c r="H340" s="6">
        <v>140</v>
      </c>
      <c r="I340" s="3" t="s">
        <v>1433</v>
      </c>
      <c r="J340" s="17"/>
    </row>
    <row r="341" spans="1:10" ht="12.75">
      <c r="A341" s="85">
        <v>2.8</v>
      </c>
      <c r="B341" s="85">
        <v>60</v>
      </c>
      <c r="C341" s="85">
        <v>28.75</v>
      </c>
      <c r="D341" s="85">
        <v>60</v>
      </c>
      <c r="E341" s="85">
        <v>23.95</v>
      </c>
      <c r="F341" s="6" t="s">
        <v>1574</v>
      </c>
      <c r="G341" s="49" t="s">
        <v>1577</v>
      </c>
      <c r="H341" s="6">
        <v>145</v>
      </c>
      <c r="I341" s="3" t="s">
        <v>1433</v>
      </c>
      <c r="J341" s="17"/>
    </row>
    <row r="342" spans="1:10" ht="12.75">
      <c r="A342" s="85">
        <v>2.8</v>
      </c>
      <c r="B342" s="85">
        <v>60</v>
      </c>
      <c r="C342" s="85">
        <v>21.6</v>
      </c>
      <c r="D342" s="85">
        <v>61</v>
      </c>
      <c r="E342" s="85">
        <v>34.5</v>
      </c>
      <c r="F342" s="6" t="s">
        <v>1387</v>
      </c>
      <c r="G342" s="6"/>
      <c r="H342" s="6">
        <v>100</v>
      </c>
      <c r="I342" s="3" t="s">
        <v>1434</v>
      </c>
      <c r="J342" s="17"/>
    </row>
    <row r="343" spans="1:11" ht="12.75">
      <c r="A343" s="85">
        <v>2.5</v>
      </c>
      <c r="B343" s="85">
        <v>39</v>
      </c>
      <c r="C343" s="85">
        <v>33</v>
      </c>
      <c r="D343" s="85">
        <v>39</v>
      </c>
      <c r="E343" s="85">
        <v>33</v>
      </c>
      <c r="F343" s="6" t="s">
        <v>1387</v>
      </c>
      <c r="G343" s="6"/>
      <c r="H343" s="6">
        <v>100</v>
      </c>
      <c r="I343" s="3" t="s">
        <v>466</v>
      </c>
      <c r="J343" s="135">
        <v>37253</v>
      </c>
      <c r="K343" s="90" t="s">
        <v>414</v>
      </c>
    </row>
    <row r="344" spans="1:11" ht="12.75">
      <c r="A344" s="85">
        <v>2.5</v>
      </c>
      <c r="B344" s="85">
        <v>41</v>
      </c>
      <c r="C344" s="85">
        <v>35</v>
      </c>
      <c r="D344" s="85">
        <v>41</v>
      </c>
      <c r="E344" s="85">
        <v>35</v>
      </c>
      <c r="F344" s="6" t="s">
        <v>1387</v>
      </c>
      <c r="G344" s="6"/>
      <c r="H344" s="6">
        <v>100</v>
      </c>
      <c r="I344" s="3" t="s">
        <v>465</v>
      </c>
      <c r="J344" s="135">
        <v>37253</v>
      </c>
      <c r="K344" s="90" t="s">
        <v>414</v>
      </c>
    </row>
    <row r="345" spans="1:11" ht="12.75">
      <c r="A345" s="85">
        <v>2.6</v>
      </c>
      <c r="B345" s="85">
        <v>5538</v>
      </c>
      <c r="C345" s="85">
        <v>21</v>
      </c>
      <c r="D345" s="85">
        <v>55.8</v>
      </c>
      <c r="E345" s="85">
        <v>33</v>
      </c>
      <c r="F345" s="6" t="s">
        <v>1387</v>
      </c>
      <c r="G345" s="6"/>
      <c r="H345" s="6">
        <v>100</v>
      </c>
      <c r="I345" s="3" t="s">
        <v>467</v>
      </c>
      <c r="J345" s="135">
        <v>37253</v>
      </c>
      <c r="K345" s="90" t="s">
        <v>414</v>
      </c>
    </row>
    <row r="346" spans="1:11" ht="12.75">
      <c r="A346" s="85">
        <v>2.6</v>
      </c>
      <c r="B346" s="85">
        <v>55.8</v>
      </c>
      <c r="C346" s="85">
        <v>35</v>
      </c>
      <c r="D346" s="85">
        <v>55.8</v>
      </c>
      <c r="E346" s="85">
        <v>21</v>
      </c>
      <c r="F346" s="6" t="s">
        <v>1574</v>
      </c>
      <c r="G346" s="49"/>
      <c r="H346" s="6">
        <v>135</v>
      </c>
      <c r="I346" s="3" t="s">
        <v>467</v>
      </c>
      <c r="J346" s="135">
        <v>37254</v>
      </c>
      <c r="K346" s="90" t="s">
        <v>414</v>
      </c>
    </row>
    <row r="347" spans="1:11" ht="12.75">
      <c r="A347" s="85">
        <v>2.6</v>
      </c>
      <c r="B347" s="85">
        <v>60</v>
      </c>
      <c r="C347" s="85">
        <v>24</v>
      </c>
      <c r="D347" s="85">
        <v>60</v>
      </c>
      <c r="E347" s="85">
        <v>31</v>
      </c>
      <c r="F347" s="6" t="s">
        <v>1387</v>
      </c>
      <c r="G347" s="6"/>
      <c r="H347" s="6">
        <v>110</v>
      </c>
      <c r="I347" s="7" t="s">
        <v>1435</v>
      </c>
      <c r="J347" s="135">
        <v>37253</v>
      </c>
      <c r="K347" s="90" t="s">
        <v>414</v>
      </c>
    </row>
    <row r="348" spans="1:11" ht="12.75">
      <c r="A348" s="85">
        <v>2.6</v>
      </c>
      <c r="B348" s="85">
        <v>62</v>
      </c>
      <c r="C348" s="85">
        <v>34.5</v>
      </c>
      <c r="D348" s="85">
        <v>62</v>
      </c>
      <c r="E348" s="85">
        <v>34.5</v>
      </c>
      <c r="F348" s="6" t="s">
        <v>1387</v>
      </c>
      <c r="G348" s="6"/>
      <c r="H348" s="6">
        <v>100</v>
      </c>
      <c r="I348" s="7" t="s">
        <v>1308</v>
      </c>
      <c r="J348" s="135">
        <v>39053</v>
      </c>
      <c r="K348" s="90" t="s">
        <v>1309</v>
      </c>
    </row>
    <row r="349" spans="1:11" ht="12.75">
      <c r="A349" s="85">
        <v>2.6</v>
      </c>
      <c r="B349" s="85">
        <v>62</v>
      </c>
      <c r="C349" s="85">
        <v>31</v>
      </c>
      <c r="D349" s="85">
        <v>62</v>
      </c>
      <c r="E349" s="85">
        <v>31</v>
      </c>
      <c r="F349" s="6" t="s">
        <v>1574</v>
      </c>
      <c r="G349" s="6"/>
      <c r="H349" s="6">
        <v>120</v>
      </c>
      <c r="I349" s="7" t="s">
        <v>1308</v>
      </c>
      <c r="J349" s="135">
        <v>39053</v>
      </c>
      <c r="K349" s="90" t="s">
        <v>1309</v>
      </c>
    </row>
    <row r="350" spans="1:11" ht="12.75">
      <c r="A350" s="85">
        <v>2.6</v>
      </c>
      <c r="B350" s="85">
        <v>40</v>
      </c>
      <c r="C350" s="85">
        <v>36</v>
      </c>
      <c r="D350" s="85">
        <v>40</v>
      </c>
      <c r="E350" s="85">
        <v>36</v>
      </c>
      <c r="F350" s="6" t="s">
        <v>1387</v>
      </c>
      <c r="G350" s="6"/>
      <c r="H350" s="6">
        <v>100</v>
      </c>
      <c r="I350" s="7" t="s">
        <v>1310</v>
      </c>
      <c r="J350" s="135">
        <v>39053</v>
      </c>
      <c r="K350" s="90" t="s">
        <v>1309</v>
      </c>
    </row>
    <row r="351" spans="1:11" ht="12.75">
      <c r="A351" s="85">
        <v>2.6</v>
      </c>
      <c r="B351" s="85">
        <v>53</v>
      </c>
      <c r="C351" s="85">
        <v>39</v>
      </c>
      <c r="D351" s="85">
        <v>53</v>
      </c>
      <c r="E351" s="85">
        <v>39</v>
      </c>
      <c r="F351" s="6" t="s">
        <v>1574</v>
      </c>
      <c r="G351" s="6"/>
      <c r="H351" s="6">
        <v>135</v>
      </c>
      <c r="I351" s="7" t="s">
        <v>1310</v>
      </c>
      <c r="J351" s="135">
        <v>39053</v>
      </c>
      <c r="K351" s="90" t="s">
        <v>1309</v>
      </c>
    </row>
    <row r="352" spans="1:11" ht="12.75">
      <c r="A352" s="85">
        <v>2.6</v>
      </c>
      <c r="B352" s="85">
        <v>58</v>
      </c>
      <c r="C352" s="85">
        <v>38</v>
      </c>
      <c r="D352" s="85">
        <v>58</v>
      </c>
      <c r="E352" s="85">
        <v>34</v>
      </c>
      <c r="F352" s="6" t="s">
        <v>1574</v>
      </c>
      <c r="G352" s="6"/>
      <c r="H352" s="6">
        <v>135</v>
      </c>
      <c r="I352" s="7" t="s">
        <v>1311</v>
      </c>
      <c r="J352" s="135">
        <v>39053</v>
      </c>
      <c r="K352" s="90" t="s">
        <v>1309</v>
      </c>
    </row>
    <row r="353" spans="1:10" ht="12.75">
      <c r="A353" s="85">
        <v>2.4</v>
      </c>
      <c r="B353" s="85">
        <v>44</v>
      </c>
      <c r="C353" s="85">
        <v>28.5</v>
      </c>
      <c r="D353" s="85">
        <v>44</v>
      </c>
      <c r="E353" s="85">
        <v>28.5</v>
      </c>
      <c r="F353" s="6" t="s">
        <v>1387</v>
      </c>
      <c r="G353" s="6"/>
      <c r="H353" s="6">
        <v>100</v>
      </c>
      <c r="I353" s="3" t="s">
        <v>1436</v>
      </c>
      <c r="J353" s="17"/>
    </row>
    <row r="354" spans="1:10" ht="12.75">
      <c r="A354" s="85">
        <v>2.4</v>
      </c>
      <c r="B354" s="85">
        <v>42.5</v>
      </c>
      <c r="C354" s="85">
        <v>34.5</v>
      </c>
      <c r="D354" s="85">
        <v>42.5</v>
      </c>
      <c r="E354" s="85">
        <v>34.5</v>
      </c>
      <c r="F354" s="6" t="s">
        <v>1387</v>
      </c>
      <c r="G354" s="6"/>
      <c r="H354" s="6">
        <v>100</v>
      </c>
      <c r="I354" s="3" t="s">
        <v>1442</v>
      </c>
      <c r="J354" s="17"/>
    </row>
    <row r="355" spans="1:10" ht="12.75">
      <c r="A355" s="85">
        <v>2.4</v>
      </c>
      <c r="B355" s="85">
        <v>42.5</v>
      </c>
      <c r="C355" s="85">
        <v>34.5</v>
      </c>
      <c r="D355" s="85">
        <v>42.5</v>
      </c>
      <c r="E355" s="85">
        <v>23.5</v>
      </c>
      <c r="F355" s="6" t="s">
        <v>1574</v>
      </c>
      <c r="G355" s="6"/>
      <c r="H355" s="6">
        <v>135</v>
      </c>
      <c r="I355" s="3" t="s">
        <v>101</v>
      </c>
      <c r="J355" s="17"/>
    </row>
    <row r="356" spans="1:11" ht="12.75">
      <c r="A356" s="85">
        <v>2.5</v>
      </c>
      <c r="B356" s="85">
        <v>52</v>
      </c>
      <c r="C356" s="85">
        <v>38.5</v>
      </c>
      <c r="D356" s="85">
        <v>52</v>
      </c>
      <c r="E356" s="85">
        <v>38.5</v>
      </c>
      <c r="F356" s="6" t="s">
        <v>1574</v>
      </c>
      <c r="G356" s="6">
        <v>1</v>
      </c>
      <c r="H356" s="6">
        <v>135</v>
      </c>
      <c r="I356" s="3" t="s">
        <v>1149</v>
      </c>
      <c r="J356" s="135">
        <v>37900</v>
      </c>
      <c r="K356" s="102" t="s">
        <v>1147</v>
      </c>
    </row>
    <row r="357" spans="1:11" ht="12.75">
      <c r="A357" s="85">
        <v>2.5</v>
      </c>
      <c r="B357" s="85">
        <v>40</v>
      </c>
      <c r="C357" s="85">
        <v>36.1</v>
      </c>
      <c r="D357" s="85">
        <v>40</v>
      </c>
      <c r="E357" s="85">
        <v>36.1</v>
      </c>
      <c r="F357" s="6" t="s">
        <v>1387</v>
      </c>
      <c r="G357" s="6"/>
      <c r="H357" s="6">
        <v>100</v>
      </c>
      <c r="I357" s="3" t="s">
        <v>1150</v>
      </c>
      <c r="J357" s="135">
        <v>37900</v>
      </c>
      <c r="K357" s="102" t="s">
        <v>1147</v>
      </c>
    </row>
    <row r="358" spans="1:11" ht="12.75">
      <c r="A358" s="85">
        <v>2.5</v>
      </c>
      <c r="B358" s="85">
        <v>58.5</v>
      </c>
      <c r="C358" s="85">
        <f>110/2-25</f>
        <v>30</v>
      </c>
      <c r="D358" s="85">
        <v>51</v>
      </c>
      <c r="E358" s="85">
        <f>110/2-16-3.5/2</f>
        <v>37.25</v>
      </c>
      <c r="F358" s="6" t="s">
        <v>1387</v>
      </c>
      <c r="G358" s="6"/>
      <c r="H358" s="6">
        <v>110</v>
      </c>
      <c r="I358" s="3" t="s">
        <v>602</v>
      </c>
      <c r="J358" s="135">
        <v>37905</v>
      </c>
      <c r="K358" s="90" t="s">
        <v>158</v>
      </c>
    </row>
    <row r="359" spans="1:10" ht="12.75">
      <c r="A359" s="85">
        <v>2.4</v>
      </c>
      <c r="B359" s="85">
        <v>43</v>
      </c>
      <c r="C359" s="85">
        <v>33</v>
      </c>
      <c r="D359" s="85">
        <v>43</v>
      </c>
      <c r="E359" s="85">
        <v>33</v>
      </c>
      <c r="F359" s="6" t="s">
        <v>1387</v>
      </c>
      <c r="G359" s="6"/>
      <c r="H359" s="6">
        <v>100</v>
      </c>
      <c r="I359" s="3" t="s">
        <v>1443</v>
      </c>
      <c r="J359" s="17"/>
    </row>
    <row r="360" spans="1:10" ht="12.75">
      <c r="A360" s="85">
        <v>2.4</v>
      </c>
      <c r="B360" s="85">
        <v>43</v>
      </c>
      <c r="C360" s="85">
        <v>34</v>
      </c>
      <c r="D360" s="85">
        <v>43</v>
      </c>
      <c r="E360" s="85">
        <v>20.5</v>
      </c>
      <c r="F360" s="6" t="s">
        <v>1574</v>
      </c>
      <c r="G360" s="6"/>
      <c r="H360" s="6">
        <v>135</v>
      </c>
      <c r="I360" s="3" t="s">
        <v>102</v>
      </c>
      <c r="J360" s="17"/>
    </row>
    <row r="361" spans="1:10" ht="12.75">
      <c r="A361" s="85">
        <v>2.5</v>
      </c>
      <c r="B361" s="85">
        <v>62.5</v>
      </c>
      <c r="C361" s="85">
        <v>30.4</v>
      </c>
      <c r="D361" s="85">
        <v>62.5</v>
      </c>
      <c r="E361" s="85">
        <v>20.8</v>
      </c>
      <c r="F361" s="6" t="s">
        <v>1574</v>
      </c>
      <c r="G361" s="6">
        <v>9</v>
      </c>
      <c r="H361" s="6">
        <v>135</v>
      </c>
      <c r="I361" s="3" t="s">
        <v>1444</v>
      </c>
      <c r="J361" s="17"/>
    </row>
    <row r="362" spans="1:11" ht="12.75">
      <c r="A362" s="85">
        <v>2.5</v>
      </c>
      <c r="B362" s="85">
        <v>58</v>
      </c>
      <c r="C362" s="85">
        <v>23</v>
      </c>
      <c r="D362" s="85">
        <v>48</v>
      </c>
      <c r="E362" s="85">
        <v>34.7</v>
      </c>
      <c r="F362" s="6" t="s">
        <v>1387</v>
      </c>
      <c r="G362" s="6"/>
      <c r="H362" s="6">
        <v>100</v>
      </c>
      <c r="I362" s="3" t="s">
        <v>477</v>
      </c>
      <c r="J362" s="135">
        <v>37253</v>
      </c>
      <c r="K362" s="90" t="s">
        <v>414</v>
      </c>
    </row>
    <row r="363" spans="1:11" ht="12.75">
      <c r="A363" s="85">
        <v>2.5</v>
      </c>
      <c r="B363" s="85">
        <v>58</v>
      </c>
      <c r="C363" s="85">
        <v>33.25</v>
      </c>
      <c r="D363" s="85">
        <v>47</v>
      </c>
      <c r="E363" s="85">
        <v>20</v>
      </c>
      <c r="F363" s="6" t="s">
        <v>1574</v>
      </c>
      <c r="G363" s="6"/>
      <c r="H363" s="6">
        <v>135</v>
      </c>
      <c r="I363" s="3" t="s">
        <v>477</v>
      </c>
      <c r="J363" s="135">
        <v>37254</v>
      </c>
      <c r="K363" s="90" t="s">
        <v>414</v>
      </c>
    </row>
    <row r="364" spans="1:11" ht="12.75">
      <c r="A364" s="85">
        <v>2.5</v>
      </c>
      <c r="B364" s="85">
        <v>58</v>
      </c>
      <c r="C364" s="85">
        <v>22.8</v>
      </c>
      <c r="D364" s="85">
        <v>58</v>
      </c>
      <c r="E364" s="85">
        <v>31.5</v>
      </c>
      <c r="F364" s="6" t="s">
        <v>1387</v>
      </c>
      <c r="G364" s="6"/>
      <c r="H364" s="6">
        <v>110</v>
      </c>
      <c r="I364" s="3" t="s">
        <v>478</v>
      </c>
      <c r="J364" s="135">
        <v>37253</v>
      </c>
      <c r="K364" s="90" t="s">
        <v>414</v>
      </c>
    </row>
    <row r="365" spans="1:11" ht="12.75">
      <c r="A365" s="85">
        <v>2.5</v>
      </c>
      <c r="B365" s="85">
        <v>58</v>
      </c>
      <c r="C365" s="85">
        <v>23</v>
      </c>
      <c r="D365" s="85">
        <v>52</v>
      </c>
      <c r="E365" s="85">
        <v>34.7</v>
      </c>
      <c r="F365" s="6" t="s">
        <v>1387</v>
      </c>
      <c r="G365" s="6"/>
      <c r="H365" s="6">
        <v>100</v>
      </c>
      <c r="I365" s="3" t="s">
        <v>476</v>
      </c>
      <c r="J365" s="135">
        <v>37253</v>
      </c>
      <c r="K365" s="90" t="s">
        <v>414</v>
      </c>
    </row>
    <row r="366" spans="1:11" ht="12.75" customHeight="1">
      <c r="A366" s="85">
        <v>2.5</v>
      </c>
      <c r="B366" s="85">
        <v>58</v>
      </c>
      <c r="C366" s="85">
        <v>33.25</v>
      </c>
      <c r="D366" s="85">
        <v>52</v>
      </c>
      <c r="E366" s="85">
        <v>20</v>
      </c>
      <c r="F366" s="6" t="s">
        <v>1574</v>
      </c>
      <c r="G366" s="6"/>
      <c r="H366" s="6">
        <v>135</v>
      </c>
      <c r="I366" s="3" t="s">
        <v>476</v>
      </c>
      <c r="J366" s="135">
        <v>37254</v>
      </c>
      <c r="K366" s="90" t="s">
        <v>414</v>
      </c>
    </row>
    <row r="367" spans="1:11" ht="12.75">
      <c r="A367" s="85">
        <v>2.5</v>
      </c>
      <c r="B367" s="85">
        <v>58</v>
      </c>
      <c r="C367" s="85">
        <v>23.1</v>
      </c>
      <c r="D367" s="85">
        <v>46</v>
      </c>
      <c r="E367" s="85">
        <v>34.4</v>
      </c>
      <c r="F367" s="6" t="s">
        <v>1387</v>
      </c>
      <c r="G367" s="6"/>
      <c r="H367" s="6">
        <v>100</v>
      </c>
      <c r="I367" s="3" t="s">
        <v>480</v>
      </c>
      <c r="J367" s="135">
        <v>37253</v>
      </c>
      <c r="K367" s="90" t="s">
        <v>414</v>
      </c>
    </row>
    <row r="368" spans="1:11" ht="12.75">
      <c r="A368" s="85">
        <v>2.5</v>
      </c>
      <c r="B368" s="85">
        <v>58</v>
      </c>
      <c r="C368" s="85">
        <v>33.25</v>
      </c>
      <c r="D368" s="85">
        <v>46</v>
      </c>
      <c r="E368" s="85">
        <v>19.75</v>
      </c>
      <c r="F368" s="6" t="s">
        <v>1574</v>
      </c>
      <c r="G368" s="6"/>
      <c r="H368" s="6">
        <v>135</v>
      </c>
      <c r="I368" s="3" t="s">
        <v>480</v>
      </c>
      <c r="J368" s="135">
        <v>37254</v>
      </c>
      <c r="K368" s="90" t="s">
        <v>414</v>
      </c>
    </row>
    <row r="369" spans="1:11" ht="12.75">
      <c r="A369" s="85">
        <v>2.5</v>
      </c>
      <c r="B369" s="85">
        <v>58</v>
      </c>
      <c r="C369" s="85">
        <v>22.8</v>
      </c>
      <c r="D369" s="85">
        <v>58</v>
      </c>
      <c r="E369" s="85">
        <v>31.5</v>
      </c>
      <c r="F369" s="6" t="s">
        <v>1387</v>
      </c>
      <c r="G369" s="6"/>
      <c r="H369" s="6">
        <v>110</v>
      </c>
      <c r="I369" s="3" t="s">
        <v>496</v>
      </c>
      <c r="J369" s="135">
        <v>37253</v>
      </c>
      <c r="K369" s="90" t="s">
        <v>414</v>
      </c>
    </row>
    <row r="370" spans="1:11" ht="12.75">
      <c r="A370" s="85">
        <v>2.8</v>
      </c>
      <c r="B370" s="85">
        <v>60</v>
      </c>
      <c r="C370" s="85">
        <v>23.65</v>
      </c>
      <c r="D370" s="85">
        <v>61</v>
      </c>
      <c r="E370" s="85">
        <v>34.85</v>
      </c>
      <c r="F370" s="6" t="s">
        <v>1387</v>
      </c>
      <c r="G370" s="6"/>
      <c r="H370" s="6">
        <v>100</v>
      </c>
      <c r="I370" s="3" t="s">
        <v>469</v>
      </c>
      <c r="J370" s="135">
        <v>37253</v>
      </c>
      <c r="K370" s="90" t="s">
        <v>414</v>
      </c>
    </row>
    <row r="371" spans="1:11" ht="12.75">
      <c r="A371" s="85">
        <v>2.8</v>
      </c>
      <c r="B371" s="85">
        <v>60</v>
      </c>
      <c r="C371" s="85">
        <v>36.3</v>
      </c>
      <c r="D371" s="85">
        <v>61</v>
      </c>
      <c r="E371" s="85">
        <v>18.95</v>
      </c>
      <c r="F371" s="6" t="s">
        <v>1574</v>
      </c>
      <c r="G371" s="6"/>
      <c r="H371" s="6">
        <v>135</v>
      </c>
      <c r="I371" s="3" t="s">
        <v>469</v>
      </c>
      <c r="J371" s="135">
        <v>37254</v>
      </c>
      <c r="K371" s="90" t="s">
        <v>414</v>
      </c>
    </row>
    <row r="372" spans="1:11" ht="12.75">
      <c r="A372" s="85">
        <v>2.8</v>
      </c>
      <c r="B372" s="85">
        <v>60</v>
      </c>
      <c r="C372" s="85">
        <v>26.6</v>
      </c>
      <c r="D372" s="85">
        <v>61</v>
      </c>
      <c r="E372" s="85">
        <v>29.7</v>
      </c>
      <c r="F372" s="6" t="s">
        <v>1387</v>
      </c>
      <c r="G372" s="6"/>
      <c r="H372" s="6">
        <v>110</v>
      </c>
      <c r="I372" s="3" t="s">
        <v>475</v>
      </c>
      <c r="J372" s="135">
        <v>37253</v>
      </c>
      <c r="K372" s="90" t="s">
        <v>414</v>
      </c>
    </row>
    <row r="373" spans="1:11" ht="12.75">
      <c r="A373" s="85">
        <v>2.5</v>
      </c>
      <c r="B373" s="85">
        <v>58</v>
      </c>
      <c r="C373" s="85">
        <v>22</v>
      </c>
      <c r="D373" s="85">
        <v>46</v>
      </c>
      <c r="E373" s="85">
        <v>34.8</v>
      </c>
      <c r="F373" s="6" t="s">
        <v>1387</v>
      </c>
      <c r="G373" s="6"/>
      <c r="H373" s="6">
        <v>100</v>
      </c>
      <c r="I373" s="3" t="s">
        <v>479</v>
      </c>
      <c r="J373" s="135">
        <v>37253</v>
      </c>
      <c r="K373" s="90" t="s">
        <v>414</v>
      </c>
    </row>
    <row r="374" spans="1:11" ht="12.75">
      <c r="A374" s="85">
        <v>2.5</v>
      </c>
      <c r="B374" s="85">
        <v>58</v>
      </c>
      <c r="C374" s="85">
        <v>33.5</v>
      </c>
      <c r="D374" s="85">
        <v>46</v>
      </c>
      <c r="E374" s="85">
        <v>19.2</v>
      </c>
      <c r="F374" s="6" t="s">
        <v>1574</v>
      </c>
      <c r="G374" s="6"/>
      <c r="H374" s="6">
        <v>135</v>
      </c>
      <c r="I374" s="3" t="s">
        <v>479</v>
      </c>
      <c r="J374" s="135">
        <v>37254</v>
      </c>
      <c r="K374" s="90" t="s">
        <v>414</v>
      </c>
    </row>
    <row r="375" spans="1:11" ht="12.75">
      <c r="A375" s="85">
        <v>2.8</v>
      </c>
      <c r="B375" s="85">
        <v>62</v>
      </c>
      <c r="C375" s="85">
        <v>31</v>
      </c>
      <c r="D375" s="85">
        <v>62</v>
      </c>
      <c r="E375" s="85">
        <v>20</v>
      </c>
      <c r="F375" s="6" t="s">
        <v>1574</v>
      </c>
      <c r="G375" s="6"/>
      <c r="H375" s="6">
        <v>135</v>
      </c>
      <c r="I375" s="3" t="s">
        <v>533</v>
      </c>
      <c r="J375" s="135">
        <v>37254</v>
      </c>
      <c r="K375" s="90" t="s">
        <v>414</v>
      </c>
    </row>
    <row r="376" spans="1:11" ht="12.75">
      <c r="A376" s="85">
        <v>2.8</v>
      </c>
      <c r="B376" s="85">
        <v>62</v>
      </c>
      <c r="C376" s="85">
        <v>20</v>
      </c>
      <c r="D376" s="85">
        <v>62</v>
      </c>
      <c r="E376" s="85">
        <v>30</v>
      </c>
      <c r="F376" s="6" t="s">
        <v>1387</v>
      </c>
      <c r="G376" s="6"/>
      <c r="H376" s="6">
        <v>100</v>
      </c>
      <c r="I376" s="3" t="s">
        <v>468</v>
      </c>
      <c r="J376" s="135">
        <v>37253</v>
      </c>
      <c r="K376" s="90" t="s">
        <v>414</v>
      </c>
    </row>
    <row r="377" spans="1:11" ht="12.75">
      <c r="A377" s="85">
        <v>2.4</v>
      </c>
      <c r="B377" s="85">
        <v>67.5</v>
      </c>
      <c r="C377" s="85">
        <v>35.9</v>
      </c>
      <c r="D377" s="85">
        <v>67.5</v>
      </c>
      <c r="E377" s="85">
        <v>20.9</v>
      </c>
      <c r="F377" s="6" t="s">
        <v>1574</v>
      </c>
      <c r="G377" s="6">
        <v>5</v>
      </c>
      <c r="H377" s="6">
        <v>122.4</v>
      </c>
      <c r="I377" s="3" t="s">
        <v>625</v>
      </c>
      <c r="J377" s="136">
        <v>39124</v>
      </c>
      <c r="K377" s="90" t="s">
        <v>627</v>
      </c>
    </row>
    <row r="378" spans="1:11" ht="12.75">
      <c r="A378" s="85">
        <v>2.4</v>
      </c>
      <c r="B378" s="85">
        <v>67.5</v>
      </c>
      <c r="C378" s="85">
        <v>33</v>
      </c>
      <c r="D378" s="85">
        <v>67.5</v>
      </c>
      <c r="E378" s="85">
        <v>33</v>
      </c>
      <c r="F378" s="6" t="s">
        <v>1387</v>
      </c>
      <c r="G378" s="6"/>
      <c r="H378" s="6">
        <v>99</v>
      </c>
      <c r="I378" s="3" t="s">
        <v>625</v>
      </c>
      <c r="J378" s="136">
        <v>39124</v>
      </c>
      <c r="K378" s="90" t="s">
        <v>627</v>
      </c>
    </row>
    <row r="379" spans="1:11" ht="12.75">
      <c r="A379" s="85">
        <v>2.6</v>
      </c>
      <c r="B379" s="85">
        <v>40</v>
      </c>
      <c r="C379" s="85">
        <v>40</v>
      </c>
      <c r="D379" s="85">
        <v>40</v>
      </c>
      <c r="E379" s="85">
        <v>40</v>
      </c>
      <c r="F379" s="6" t="s">
        <v>1387</v>
      </c>
      <c r="G379" s="6"/>
      <c r="H379" s="6"/>
      <c r="I379" s="3" t="s">
        <v>497</v>
      </c>
      <c r="J379" s="135">
        <v>37253</v>
      </c>
      <c r="K379" s="90" t="s">
        <v>414</v>
      </c>
    </row>
    <row r="380" spans="1:11" ht="12.75">
      <c r="A380" s="85">
        <v>2.6</v>
      </c>
      <c r="B380" s="85">
        <v>56</v>
      </c>
      <c r="C380" s="85">
        <v>36</v>
      </c>
      <c r="D380" s="85">
        <v>56</v>
      </c>
      <c r="E380" s="85">
        <v>36</v>
      </c>
      <c r="F380" s="6" t="s">
        <v>1387</v>
      </c>
      <c r="G380" s="6"/>
      <c r="H380" s="6"/>
      <c r="I380" s="3" t="s">
        <v>498</v>
      </c>
      <c r="J380" s="135">
        <v>37253</v>
      </c>
      <c r="K380" s="90" t="s">
        <v>414</v>
      </c>
    </row>
    <row r="381" spans="1:11" ht="12.75">
      <c r="A381" s="85">
        <v>2.6</v>
      </c>
      <c r="B381" s="85">
        <v>58</v>
      </c>
      <c r="C381" s="85">
        <v>22</v>
      </c>
      <c r="D381" s="85">
        <v>58</v>
      </c>
      <c r="E381" s="85">
        <v>31</v>
      </c>
      <c r="F381" s="6" t="s">
        <v>1387</v>
      </c>
      <c r="G381" s="6"/>
      <c r="H381" s="6"/>
      <c r="I381" s="3" t="s">
        <v>499</v>
      </c>
      <c r="J381" s="135">
        <v>37253</v>
      </c>
      <c r="K381" s="90" t="s">
        <v>414</v>
      </c>
    </row>
    <row r="382" spans="1:11" ht="12.75">
      <c r="A382" s="85">
        <v>3</v>
      </c>
      <c r="B382" s="85">
        <v>61</v>
      </c>
      <c r="C382" s="85">
        <v>19</v>
      </c>
      <c r="D382" s="85">
        <v>61</v>
      </c>
      <c r="E382" s="85">
        <v>33</v>
      </c>
      <c r="F382" s="6" t="s">
        <v>1387</v>
      </c>
      <c r="G382" s="6"/>
      <c r="H382" s="6"/>
      <c r="I382" s="3" t="s">
        <v>500</v>
      </c>
      <c r="J382" s="135">
        <v>37253</v>
      </c>
      <c r="K382" s="90" t="s">
        <v>414</v>
      </c>
    </row>
    <row r="383" spans="1:11" ht="12.75">
      <c r="A383" s="85">
        <v>2.5</v>
      </c>
      <c r="B383" s="85">
        <v>58</v>
      </c>
      <c r="C383" s="85">
        <v>29.4</v>
      </c>
      <c r="D383" s="85">
        <v>50</v>
      </c>
      <c r="E383" s="85">
        <v>36.5</v>
      </c>
      <c r="F383" s="6" t="s">
        <v>1387</v>
      </c>
      <c r="G383" s="6"/>
      <c r="H383" s="6">
        <v>110</v>
      </c>
      <c r="I383" s="3" t="s">
        <v>252</v>
      </c>
      <c r="J383" s="135">
        <v>38287</v>
      </c>
      <c r="K383" s="90" t="s">
        <v>253</v>
      </c>
    </row>
    <row r="384" spans="1:10" ht="12.75">
      <c r="A384" s="85">
        <v>2.5</v>
      </c>
      <c r="B384" s="85">
        <v>40</v>
      </c>
      <c r="C384" s="85">
        <v>27</v>
      </c>
      <c r="D384" s="85">
        <v>40</v>
      </c>
      <c r="E384" s="85">
        <v>27</v>
      </c>
      <c r="F384" s="6" t="s">
        <v>1387</v>
      </c>
      <c r="G384" s="6"/>
      <c r="H384" s="6">
        <v>100</v>
      </c>
      <c r="I384" s="3" t="s">
        <v>1447</v>
      </c>
      <c r="J384" s="17"/>
    </row>
    <row r="385" spans="1:10" ht="12.75">
      <c r="A385" s="85">
        <v>2.4</v>
      </c>
      <c r="B385" s="85">
        <v>44.5</v>
      </c>
      <c r="C385" s="85">
        <v>30</v>
      </c>
      <c r="D385" s="85">
        <v>44.5</v>
      </c>
      <c r="E385" s="85">
        <v>18</v>
      </c>
      <c r="F385" s="6" t="s">
        <v>1574</v>
      </c>
      <c r="G385" s="6">
        <v>7</v>
      </c>
      <c r="H385" s="6">
        <v>126</v>
      </c>
      <c r="I385" s="3" t="s">
        <v>103</v>
      </c>
      <c r="J385" s="17"/>
    </row>
    <row r="386" spans="1:10" ht="12.75">
      <c r="A386" s="85">
        <v>2.4</v>
      </c>
      <c r="B386" s="85">
        <v>44.5</v>
      </c>
      <c r="C386" s="85">
        <v>31.5</v>
      </c>
      <c r="D386" s="85">
        <v>44.5</v>
      </c>
      <c r="E386" s="85">
        <v>16.5</v>
      </c>
      <c r="F386" s="6" t="s">
        <v>1574</v>
      </c>
      <c r="G386" s="6">
        <v>8</v>
      </c>
      <c r="H386" s="6">
        <v>130</v>
      </c>
      <c r="I386" s="3" t="s">
        <v>103</v>
      </c>
      <c r="J386" s="17"/>
    </row>
    <row r="387" spans="1:10" ht="12.75">
      <c r="A387" s="85">
        <v>2.4</v>
      </c>
      <c r="B387" s="85">
        <v>44.5</v>
      </c>
      <c r="C387" s="85">
        <v>37</v>
      </c>
      <c r="D387" s="85">
        <v>44.5</v>
      </c>
      <c r="E387" s="85">
        <v>19</v>
      </c>
      <c r="F387" s="6" t="s">
        <v>1574</v>
      </c>
      <c r="G387" s="6">
        <v>6</v>
      </c>
      <c r="H387" s="6">
        <v>126</v>
      </c>
      <c r="I387" s="3" t="s">
        <v>104</v>
      </c>
      <c r="J387" s="17"/>
    </row>
    <row r="388" spans="1:10" ht="12.75">
      <c r="A388" s="85">
        <v>2.4</v>
      </c>
      <c r="B388" s="85">
        <v>44.5</v>
      </c>
      <c r="C388" s="85">
        <v>42.5</v>
      </c>
      <c r="D388" s="85">
        <v>44.5</v>
      </c>
      <c r="E388" s="85">
        <v>30.5</v>
      </c>
      <c r="F388" s="6" t="s">
        <v>1574</v>
      </c>
      <c r="G388" s="6">
        <v>1</v>
      </c>
      <c r="H388" s="6">
        <v>120</v>
      </c>
      <c r="I388" s="3" t="s">
        <v>105</v>
      </c>
      <c r="J388" s="17"/>
    </row>
    <row r="389" spans="1:10" ht="12.75">
      <c r="A389" s="85">
        <v>2.4</v>
      </c>
      <c r="B389" s="85">
        <v>44.5</v>
      </c>
      <c r="C389" s="85">
        <v>29.5</v>
      </c>
      <c r="D389" s="85">
        <v>44.5</v>
      </c>
      <c r="E389" s="85">
        <v>18.5</v>
      </c>
      <c r="F389" s="6" t="s">
        <v>1574</v>
      </c>
      <c r="G389" s="6"/>
      <c r="H389" s="6">
        <v>130</v>
      </c>
      <c r="I389" s="3" t="s">
        <v>106</v>
      </c>
      <c r="J389" s="17"/>
    </row>
    <row r="390" spans="1:10" ht="12.75">
      <c r="A390" s="85">
        <v>2.4</v>
      </c>
      <c r="B390" s="85">
        <v>44.5</v>
      </c>
      <c r="C390" s="85">
        <v>27</v>
      </c>
      <c r="D390" s="85">
        <v>44.5</v>
      </c>
      <c r="E390" s="85">
        <v>21</v>
      </c>
      <c r="F390" s="6" t="s">
        <v>1574</v>
      </c>
      <c r="G390" s="6"/>
      <c r="H390" s="6">
        <v>135</v>
      </c>
      <c r="I390" s="3" t="s">
        <v>106</v>
      </c>
      <c r="J390" s="17"/>
    </row>
    <row r="391" spans="1:10" ht="12.75">
      <c r="A391" s="85">
        <v>2.4</v>
      </c>
      <c r="B391" s="85">
        <v>45</v>
      </c>
      <c r="C391" s="85">
        <v>37.7</v>
      </c>
      <c r="D391" s="85">
        <v>45</v>
      </c>
      <c r="E391" s="85">
        <v>19.2</v>
      </c>
      <c r="F391" s="6" t="s">
        <v>1574</v>
      </c>
      <c r="G391" s="6">
        <v>6</v>
      </c>
      <c r="H391" s="6">
        <v>126</v>
      </c>
      <c r="I391" s="4" t="s">
        <v>107</v>
      </c>
      <c r="J391" s="17"/>
    </row>
    <row r="392" spans="1:10" ht="12.75">
      <c r="A392" s="85">
        <v>2.4</v>
      </c>
      <c r="B392" s="85">
        <v>45</v>
      </c>
      <c r="C392" s="85">
        <v>36</v>
      </c>
      <c r="D392" s="85">
        <v>45</v>
      </c>
      <c r="E392" s="85">
        <v>26</v>
      </c>
      <c r="F392" s="6" t="s">
        <v>1574</v>
      </c>
      <c r="G392" s="6">
        <v>1</v>
      </c>
      <c r="H392" s="6">
        <v>120</v>
      </c>
      <c r="I392" s="4" t="s">
        <v>108</v>
      </c>
      <c r="J392" s="17"/>
    </row>
    <row r="393" spans="1:10" ht="12.75">
      <c r="A393" s="85">
        <v>2.4</v>
      </c>
      <c r="B393" s="85">
        <v>53</v>
      </c>
      <c r="C393" s="85">
        <v>32</v>
      </c>
      <c r="D393" s="85">
        <v>53</v>
      </c>
      <c r="E393" s="85">
        <v>16.5</v>
      </c>
      <c r="F393" s="6" t="s">
        <v>1574</v>
      </c>
      <c r="G393" s="6"/>
      <c r="H393" s="6">
        <v>130</v>
      </c>
      <c r="I393" s="3" t="s">
        <v>109</v>
      </c>
      <c r="J393" s="17"/>
    </row>
    <row r="394" spans="1:10" ht="12.75">
      <c r="A394" s="85">
        <v>2.4</v>
      </c>
      <c r="B394" s="85">
        <v>53</v>
      </c>
      <c r="C394" s="85">
        <v>35</v>
      </c>
      <c r="D394" s="85">
        <v>53</v>
      </c>
      <c r="E394" s="85">
        <v>19</v>
      </c>
      <c r="F394" s="6" t="s">
        <v>1574</v>
      </c>
      <c r="G394" s="6"/>
      <c r="H394" s="6">
        <v>130</v>
      </c>
      <c r="I394" s="3" t="s">
        <v>110</v>
      </c>
      <c r="J394" s="17"/>
    </row>
    <row r="395" spans="1:10" ht="12.75">
      <c r="A395" s="85">
        <v>2.4</v>
      </c>
      <c r="B395" s="85">
        <v>53</v>
      </c>
      <c r="C395" s="85">
        <v>31.5</v>
      </c>
      <c r="D395" s="85">
        <v>53</v>
      </c>
      <c r="E395" s="85">
        <v>17</v>
      </c>
      <c r="F395" s="6" t="s">
        <v>1574</v>
      </c>
      <c r="G395" s="6"/>
      <c r="H395" s="6">
        <v>135</v>
      </c>
      <c r="I395" s="3" t="s">
        <v>111</v>
      </c>
      <c r="J395" s="17"/>
    </row>
    <row r="396" spans="1:11" ht="12.75">
      <c r="A396" s="85">
        <v>0</v>
      </c>
      <c r="B396" s="85">
        <v>27</v>
      </c>
      <c r="C396" s="85">
        <v>36</v>
      </c>
      <c r="D396" s="85">
        <v>27</v>
      </c>
      <c r="E396" s="85">
        <v>36</v>
      </c>
      <c r="F396" s="6" t="s">
        <v>1387</v>
      </c>
      <c r="G396" s="6"/>
      <c r="H396" s="6">
        <v>100</v>
      </c>
      <c r="I396" s="3" t="s">
        <v>802</v>
      </c>
      <c r="J396" s="135">
        <v>37255</v>
      </c>
      <c r="K396" s="90" t="s">
        <v>158</v>
      </c>
    </row>
    <row r="397" spans="1:10" ht="12.75">
      <c r="A397" s="85">
        <v>2.4</v>
      </c>
      <c r="B397" s="85">
        <v>40</v>
      </c>
      <c r="C397" s="85">
        <v>34</v>
      </c>
      <c r="D397" s="85">
        <v>40</v>
      </c>
      <c r="E397" s="85">
        <v>34</v>
      </c>
      <c r="F397" s="6" t="s">
        <v>1387</v>
      </c>
      <c r="G397" s="6"/>
      <c r="H397" s="6">
        <v>100</v>
      </c>
      <c r="I397" s="3" t="s">
        <v>1451</v>
      </c>
      <c r="J397" s="17"/>
    </row>
    <row r="398" spans="1:10" ht="12.75">
      <c r="A398" s="85">
        <v>2.4</v>
      </c>
      <c r="B398" s="85">
        <v>46</v>
      </c>
      <c r="C398" s="85">
        <v>34</v>
      </c>
      <c r="D398" s="85">
        <v>48</v>
      </c>
      <c r="E398" s="85">
        <v>17.4</v>
      </c>
      <c r="F398" s="6" t="s">
        <v>1574</v>
      </c>
      <c r="G398" s="49" t="s">
        <v>1577</v>
      </c>
      <c r="H398" s="6">
        <v>130</v>
      </c>
      <c r="I398" s="3" t="s">
        <v>1451</v>
      </c>
      <c r="J398" s="17"/>
    </row>
    <row r="399" spans="1:10" ht="12.75">
      <c r="A399" s="85">
        <v>2.4</v>
      </c>
      <c r="B399" s="85">
        <v>34</v>
      </c>
      <c r="C399" s="85">
        <v>28</v>
      </c>
      <c r="D399" s="85">
        <v>34</v>
      </c>
      <c r="E399" s="85">
        <v>28</v>
      </c>
      <c r="F399" s="6" t="s">
        <v>1387</v>
      </c>
      <c r="G399" s="6"/>
      <c r="H399" s="6">
        <v>80</v>
      </c>
      <c r="I399" s="3" t="s">
        <v>1452</v>
      </c>
      <c r="J399" s="17"/>
    </row>
    <row r="400" spans="1:11" ht="12.75">
      <c r="A400" s="85">
        <v>2.6</v>
      </c>
      <c r="B400" s="85">
        <v>32</v>
      </c>
      <c r="C400" s="85">
        <v>35</v>
      </c>
      <c r="D400" s="85">
        <v>32</v>
      </c>
      <c r="E400" s="85">
        <v>35</v>
      </c>
      <c r="F400" s="6" t="s">
        <v>1387</v>
      </c>
      <c r="G400" s="6"/>
      <c r="H400" s="6">
        <v>100</v>
      </c>
      <c r="I400" s="3" t="s">
        <v>501</v>
      </c>
      <c r="J400" s="135">
        <v>37253</v>
      </c>
      <c r="K400" s="90" t="s">
        <v>414</v>
      </c>
    </row>
    <row r="401" spans="1:11" ht="12.75">
      <c r="A401" s="85">
        <v>2.5</v>
      </c>
      <c r="B401" s="85">
        <v>59</v>
      </c>
      <c r="C401" s="85">
        <v>45</v>
      </c>
      <c r="D401" s="85">
        <v>59</v>
      </c>
      <c r="E401" s="85">
        <v>30</v>
      </c>
      <c r="F401" s="6" t="s">
        <v>1574</v>
      </c>
      <c r="G401" s="52">
        <v>1</v>
      </c>
      <c r="H401" s="6">
        <v>120</v>
      </c>
      <c r="I401" s="3" t="s">
        <v>534</v>
      </c>
      <c r="J401" s="135">
        <v>37254</v>
      </c>
      <c r="K401" s="90" t="s">
        <v>414</v>
      </c>
    </row>
    <row r="402" spans="1:11" ht="12.75">
      <c r="A402" s="85">
        <v>2.6</v>
      </c>
      <c r="B402" s="85">
        <v>62</v>
      </c>
      <c r="C402" s="85">
        <v>34</v>
      </c>
      <c r="D402" s="85">
        <v>62</v>
      </c>
      <c r="E402" s="85">
        <v>34</v>
      </c>
      <c r="F402" s="6" t="s">
        <v>1387</v>
      </c>
      <c r="G402" s="52"/>
      <c r="H402" s="6">
        <v>100</v>
      </c>
      <c r="I402" s="3" t="s">
        <v>833</v>
      </c>
      <c r="J402" s="135">
        <v>38661</v>
      </c>
      <c r="K402" s="3" t="s">
        <v>831</v>
      </c>
    </row>
    <row r="403" spans="1:11" ht="12.75">
      <c r="A403" s="85">
        <v>2.6</v>
      </c>
      <c r="B403" s="85">
        <v>62</v>
      </c>
      <c r="C403" s="85">
        <v>31</v>
      </c>
      <c r="D403" s="85">
        <v>62</v>
      </c>
      <c r="E403" s="85">
        <v>31</v>
      </c>
      <c r="F403" s="6" t="s">
        <v>1574</v>
      </c>
      <c r="G403" s="52">
        <v>1</v>
      </c>
      <c r="H403" s="6">
        <v>120</v>
      </c>
      <c r="I403" s="3" t="s">
        <v>832</v>
      </c>
      <c r="J403" s="135">
        <v>38661</v>
      </c>
      <c r="K403" s="3" t="s">
        <v>831</v>
      </c>
    </row>
    <row r="404" spans="1:11" ht="12.75">
      <c r="A404" s="85">
        <v>2.8</v>
      </c>
      <c r="B404" s="85">
        <v>60</v>
      </c>
      <c r="C404" s="85">
        <v>21.5</v>
      </c>
      <c r="D404" s="85">
        <v>60</v>
      </c>
      <c r="E404" s="85">
        <v>33.9</v>
      </c>
      <c r="F404" s="6" t="s">
        <v>1387</v>
      </c>
      <c r="G404" s="6"/>
      <c r="H404" s="6">
        <v>100</v>
      </c>
      <c r="I404" s="3" t="s">
        <v>502</v>
      </c>
      <c r="J404" s="135">
        <v>37253</v>
      </c>
      <c r="K404" s="90" t="s">
        <v>414</v>
      </c>
    </row>
    <row r="405" spans="1:11" ht="12.75">
      <c r="A405" s="85">
        <v>2.8</v>
      </c>
      <c r="B405" s="85">
        <v>60</v>
      </c>
      <c r="C405" s="85">
        <v>31.7</v>
      </c>
      <c r="D405" s="85">
        <v>60</v>
      </c>
      <c r="E405" s="85">
        <v>18.2</v>
      </c>
      <c r="F405" s="6" t="s">
        <v>1574</v>
      </c>
      <c r="G405" s="52"/>
      <c r="H405" s="6">
        <v>135</v>
      </c>
      <c r="I405" s="3" t="s">
        <v>502</v>
      </c>
      <c r="J405" s="135">
        <v>37254</v>
      </c>
      <c r="K405" s="90" t="s">
        <v>414</v>
      </c>
    </row>
    <row r="406" spans="1:11" ht="12.75">
      <c r="A406" s="85">
        <v>2.8</v>
      </c>
      <c r="B406" s="85">
        <v>60</v>
      </c>
      <c r="C406" s="85">
        <v>21.5</v>
      </c>
      <c r="D406" s="85">
        <v>60</v>
      </c>
      <c r="E406" s="85">
        <v>33.9</v>
      </c>
      <c r="F406" s="6" t="s">
        <v>1387</v>
      </c>
      <c r="G406" s="6"/>
      <c r="H406" s="6">
        <v>110</v>
      </c>
      <c r="I406" s="3" t="s">
        <v>503</v>
      </c>
      <c r="J406" s="135">
        <v>37253</v>
      </c>
      <c r="K406" s="90" t="s">
        <v>414</v>
      </c>
    </row>
    <row r="407" spans="1:11" ht="12.75">
      <c r="A407" s="85">
        <v>2.8</v>
      </c>
      <c r="B407" s="85">
        <v>60</v>
      </c>
      <c r="C407" s="85">
        <v>19</v>
      </c>
      <c r="D407" s="85">
        <v>60</v>
      </c>
      <c r="E407" s="85">
        <v>36</v>
      </c>
      <c r="F407" s="6" t="s">
        <v>1387</v>
      </c>
      <c r="G407" s="6"/>
      <c r="H407" s="6"/>
      <c r="I407" s="3" t="s">
        <v>504</v>
      </c>
      <c r="J407" s="135">
        <v>37253</v>
      </c>
      <c r="K407" s="90" t="s">
        <v>414</v>
      </c>
    </row>
    <row r="408" spans="1:10" ht="12.75">
      <c r="A408" s="85">
        <v>2.4</v>
      </c>
      <c r="B408" s="85">
        <v>63</v>
      </c>
      <c r="C408" s="85">
        <v>33.7</v>
      </c>
      <c r="D408" s="85">
        <v>63</v>
      </c>
      <c r="E408" s="85">
        <v>33.7</v>
      </c>
      <c r="F408" s="6" t="s">
        <v>1387</v>
      </c>
      <c r="G408" s="6"/>
      <c r="H408" s="6">
        <v>100</v>
      </c>
      <c r="I408" s="3" t="s">
        <v>1453</v>
      </c>
      <c r="J408" s="17"/>
    </row>
    <row r="409" spans="1:11" ht="12.75">
      <c r="A409" s="85">
        <v>2.4</v>
      </c>
      <c r="B409" s="85">
        <v>63</v>
      </c>
      <c r="C409" s="85">
        <v>39</v>
      </c>
      <c r="D409" s="85">
        <v>63</v>
      </c>
      <c r="E409" s="85">
        <v>19</v>
      </c>
      <c r="F409" s="6" t="s">
        <v>1574</v>
      </c>
      <c r="G409" s="6">
        <v>5</v>
      </c>
      <c r="H409" s="6">
        <v>120</v>
      </c>
      <c r="I409" s="3" t="s">
        <v>1453</v>
      </c>
      <c r="J409" s="135">
        <v>37593</v>
      </c>
      <c r="K409" s="90" t="s">
        <v>1129</v>
      </c>
    </row>
    <row r="410" spans="1:11" ht="12.75">
      <c r="A410" s="85">
        <v>2.4</v>
      </c>
      <c r="B410" s="85">
        <v>63</v>
      </c>
      <c r="C410" s="85">
        <v>42</v>
      </c>
      <c r="D410" s="85">
        <v>63</v>
      </c>
      <c r="E410" s="85">
        <v>16</v>
      </c>
      <c r="F410" s="6" t="s">
        <v>1574</v>
      </c>
      <c r="G410" s="6" t="s">
        <v>1575</v>
      </c>
      <c r="H410" s="6">
        <v>126</v>
      </c>
      <c r="I410" s="3" t="s">
        <v>1130</v>
      </c>
      <c r="J410" s="135">
        <v>37593</v>
      </c>
      <c r="K410" s="90" t="s">
        <v>1129</v>
      </c>
    </row>
    <row r="411" spans="1:10" ht="12.75">
      <c r="A411" s="85">
        <v>2.6</v>
      </c>
      <c r="B411" s="85">
        <v>31</v>
      </c>
      <c r="C411" s="85">
        <v>35.25</v>
      </c>
      <c r="D411" s="85">
        <v>31</v>
      </c>
      <c r="E411" s="85">
        <v>35.25</v>
      </c>
      <c r="F411" s="6" t="s">
        <v>1387</v>
      </c>
      <c r="G411" s="6"/>
      <c r="H411" s="6">
        <v>100</v>
      </c>
      <c r="I411" s="4" t="s">
        <v>1454</v>
      </c>
      <c r="J411" s="17"/>
    </row>
    <row r="412" spans="1:10" ht="12.75">
      <c r="A412" s="85">
        <v>2.4</v>
      </c>
      <c r="B412" s="85">
        <v>32</v>
      </c>
      <c r="C412" s="85">
        <v>45</v>
      </c>
      <c r="D412" s="85">
        <v>43.1</v>
      </c>
      <c r="E412" s="85">
        <v>20</v>
      </c>
      <c r="F412" s="6" t="s">
        <v>1574</v>
      </c>
      <c r="G412" s="6"/>
      <c r="H412" s="6">
        <v>126</v>
      </c>
      <c r="I412" s="3" t="s">
        <v>1456</v>
      </c>
      <c r="J412" s="17"/>
    </row>
    <row r="413" spans="1:10" ht="12.75">
      <c r="A413" s="85">
        <v>2.4</v>
      </c>
      <c r="B413" s="85">
        <v>32</v>
      </c>
      <c r="C413" s="85">
        <v>43</v>
      </c>
      <c r="D413" s="85">
        <v>43.1</v>
      </c>
      <c r="E413" s="85">
        <v>22</v>
      </c>
      <c r="F413" s="6" t="s">
        <v>1574</v>
      </c>
      <c r="G413" s="6"/>
      <c r="H413" s="6">
        <v>130</v>
      </c>
      <c r="I413" s="3" t="s">
        <v>1456</v>
      </c>
      <c r="J413" s="17"/>
    </row>
    <row r="414" spans="1:10" ht="12.75">
      <c r="A414" s="85">
        <v>2.4</v>
      </c>
      <c r="B414" s="85">
        <v>32</v>
      </c>
      <c r="C414" s="85">
        <v>41</v>
      </c>
      <c r="D414" s="85">
        <v>43.1</v>
      </c>
      <c r="E414" s="85">
        <v>25</v>
      </c>
      <c r="F414" s="6" t="s">
        <v>1574</v>
      </c>
      <c r="G414" s="6"/>
      <c r="H414" s="6">
        <v>135</v>
      </c>
      <c r="I414" s="3" t="s">
        <v>1456</v>
      </c>
      <c r="J414" s="17"/>
    </row>
    <row r="415" spans="1:10" ht="12.75">
      <c r="A415" s="85">
        <v>2.4</v>
      </c>
      <c r="B415" s="85">
        <v>32</v>
      </c>
      <c r="C415" s="85">
        <v>36.5</v>
      </c>
      <c r="D415" s="85">
        <v>32</v>
      </c>
      <c r="E415" s="85">
        <v>36.5</v>
      </c>
      <c r="F415" s="6" t="s">
        <v>1387</v>
      </c>
      <c r="G415" s="6"/>
      <c r="H415" s="6" t="s">
        <v>1455</v>
      </c>
      <c r="I415" s="3" t="s">
        <v>1456</v>
      </c>
      <c r="J415" s="17"/>
    </row>
    <row r="416" spans="1:10" ht="12.75">
      <c r="A416" s="85">
        <v>2.4</v>
      </c>
      <c r="B416" s="85">
        <v>47</v>
      </c>
      <c r="C416" s="85">
        <v>42</v>
      </c>
      <c r="D416" s="85">
        <v>47</v>
      </c>
      <c r="E416" s="85">
        <v>19.5</v>
      </c>
      <c r="F416" s="6" t="s">
        <v>1574</v>
      </c>
      <c r="G416" s="6"/>
      <c r="H416" s="6">
        <v>130</v>
      </c>
      <c r="I416" s="3" t="s">
        <v>112</v>
      </c>
      <c r="J416" s="17"/>
    </row>
    <row r="417" spans="1:10" ht="12.75">
      <c r="A417" s="85">
        <v>2.4</v>
      </c>
      <c r="B417" s="85">
        <v>47</v>
      </c>
      <c r="C417" s="85">
        <v>41</v>
      </c>
      <c r="D417" s="85">
        <v>47</v>
      </c>
      <c r="E417" s="85">
        <v>21</v>
      </c>
      <c r="F417" s="6" t="s">
        <v>1574</v>
      </c>
      <c r="G417" s="6"/>
      <c r="H417" s="6">
        <v>135</v>
      </c>
      <c r="I417" s="3" t="s">
        <v>112</v>
      </c>
      <c r="J417" s="17"/>
    </row>
    <row r="418" spans="1:10" ht="12.75">
      <c r="A418" s="85">
        <v>2.4</v>
      </c>
      <c r="B418" s="85">
        <v>47</v>
      </c>
      <c r="C418" s="85">
        <v>38</v>
      </c>
      <c r="D418" s="85">
        <v>47</v>
      </c>
      <c r="E418" s="85">
        <v>38</v>
      </c>
      <c r="F418" s="6" t="s">
        <v>1387</v>
      </c>
      <c r="G418" s="6"/>
      <c r="H418" s="6">
        <v>100</v>
      </c>
      <c r="I418" s="3" t="s">
        <v>1457</v>
      </c>
      <c r="J418" s="17"/>
    </row>
    <row r="419" spans="1:10" ht="12.75">
      <c r="A419" s="85">
        <v>2.4</v>
      </c>
      <c r="B419" s="85">
        <v>42.2</v>
      </c>
      <c r="C419" s="85">
        <v>34</v>
      </c>
      <c r="D419" s="85">
        <v>42.2</v>
      </c>
      <c r="E419" s="85">
        <v>34</v>
      </c>
      <c r="F419" s="6" t="s">
        <v>1387</v>
      </c>
      <c r="G419" s="6"/>
      <c r="H419" s="6">
        <v>100</v>
      </c>
      <c r="I419" s="3" t="s">
        <v>1458</v>
      </c>
      <c r="J419" s="17"/>
    </row>
    <row r="420" spans="1:10" ht="12.75">
      <c r="A420" s="85">
        <v>2.4</v>
      </c>
      <c r="B420" s="85">
        <v>32</v>
      </c>
      <c r="C420" s="85">
        <v>45</v>
      </c>
      <c r="D420" s="85">
        <v>47.3</v>
      </c>
      <c r="E420" s="85">
        <v>20</v>
      </c>
      <c r="F420" s="6" t="s">
        <v>1574</v>
      </c>
      <c r="G420" s="6"/>
      <c r="H420" s="6">
        <v>126</v>
      </c>
      <c r="I420" s="3" t="s">
        <v>113</v>
      </c>
      <c r="J420" s="17"/>
    </row>
    <row r="421" spans="1:10" ht="12.75">
      <c r="A421" s="85">
        <v>2.4</v>
      </c>
      <c r="B421" s="85">
        <v>32</v>
      </c>
      <c r="C421" s="85">
        <v>43</v>
      </c>
      <c r="D421" s="85">
        <v>47.3</v>
      </c>
      <c r="E421" s="85">
        <v>22</v>
      </c>
      <c r="F421" s="6" t="s">
        <v>1574</v>
      </c>
      <c r="G421" s="6"/>
      <c r="H421" s="6">
        <v>130</v>
      </c>
      <c r="I421" s="3" t="s">
        <v>113</v>
      </c>
      <c r="J421" s="17"/>
    </row>
    <row r="422" spans="1:10" ht="12.75">
      <c r="A422" s="85">
        <v>2.4</v>
      </c>
      <c r="B422" s="85">
        <v>32</v>
      </c>
      <c r="C422" s="85">
        <v>40</v>
      </c>
      <c r="D422" s="85">
        <v>47.3</v>
      </c>
      <c r="E422" s="85">
        <v>25</v>
      </c>
      <c r="F422" s="6" t="s">
        <v>1574</v>
      </c>
      <c r="G422" s="6"/>
      <c r="H422" s="6">
        <v>135</v>
      </c>
      <c r="I422" s="3" t="s">
        <v>113</v>
      </c>
      <c r="J422" s="17"/>
    </row>
    <row r="423" spans="1:10" ht="12.75">
      <c r="A423" s="85">
        <v>2.4</v>
      </c>
      <c r="B423" s="85">
        <v>32</v>
      </c>
      <c r="C423" s="85">
        <v>38.5</v>
      </c>
      <c r="D423" s="85">
        <v>47.5</v>
      </c>
      <c r="E423" s="85">
        <v>20</v>
      </c>
      <c r="F423" s="6" t="s">
        <v>1574</v>
      </c>
      <c r="G423" s="6"/>
      <c r="H423" s="6">
        <v>130</v>
      </c>
      <c r="I423" s="3" t="s">
        <v>114</v>
      </c>
      <c r="J423" s="17"/>
    </row>
    <row r="424" spans="1:10" ht="12.75">
      <c r="A424" s="85">
        <v>2.4</v>
      </c>
      <c r="B424" s="85">
        <v>32</v>
      </c>
      <c r="C424" s="85">
        <v>38.5</v>
      </c>
      <c r="D424" s="85">
        <v>47.3</v>
      </c>
      <c r="E424" s="85">
        <v>21</v>
      </c>
      <c r="F424" s="6" t="s">
        <v>1574</v>
      </c>
      <c r="G424" s="6"/>
      <c r="H424" s="6">
        <v>135</v>
      </c>
      <c r="I424" s="3" t="s">
        <v>114</v>
      </c>
      <c r="J424" s="17"/>
    </row>
    <row r="425" spans="1:10" ht="12.75">
      <c r="A425" s="85">
        <v>2.4</v>
      </c>
      <c r="B425" s="85">
        <v>32</v>
      </c>
      <c r="C425" s="85">
        <v>33</v>
      </c>
      <c r="D425" s="85">
        <v>32</v>
      </c>
      <c r="E425" s="85">
        <v>33</v>
      </c>
      <c r="F425" s="6" t="s">
        <v>1387</v>
      </c>
      <c r="G425" s="6"/>
      <c r="H425" s="6">
        <v>100</v>
      </c>
      <c r="I425" s="3" t="s">
        <v>1459</v>
      </c>
      <c r="J425" s="17"/>
    </row>
    <row r="426" spans="1:11" ht="12.75">
      <c r="A426" s="85">
        <v>2.5</v>
      </c>
      <c r="B426" s="85">
        <v>46</v>
      </c>
      <c r="C426" s="85">
        <v>27</v>
      </c>
      <c r="D426" s="85">
        <v>46</v>
      </c>
      <c r="E426" s="85">
        <v>27</v>
      </c>
      <c r="F426" s="6" t="s">
        <v>1574</v>
      </c>
      <c r="G426" s="6"/>
      <c r="H426" s="6">
        <v>120</v>
      </c>
      <c r="I426" s="3" t="s">
        <v>1320</v>
      </c>
      <c r="J426" s="136">
        <v>39053</v>
      </c>
      <c r="K426" s="90" t="s">
        <v>205</v>
      </c>
    </row>
    <row r="427" spans="1:10" ht="12.75">
      <c r="A427" s="85">
        <v>2.4</v>
      </c>
      <c r="B427" s="85">
        <v>44.5</v>
      </c>
      <c r="C427" s="85">
        <v>32</v>
      </c>
      <c r="D427" s="85">
        <v>44.5</v>
      </c>
      <c r="E427" s="85">
        <v>32</v>
      </c>
      <c r="F427" s="6" t="s">
        <v>1387</v>
      </c>
      <c r="G427" s="6"/>
      <c r="H427" s="6">
        <v>100</v>
      </c>
      <c r="I427" s="3" t="s">
        <v>1460</v>
      </c>
      <c r="J427" s="17"/>
    </row>
    <row r="428" spans="1:10" ht="12.75">
      <c r="A428" s="85">
        <v>2.4</v>
      </c>
      <c r="B428" s="85">
        <v>44.5</v>
      </c>
      <c r="C428" s="85">
        <v>38</v>
      </c>
      <c r="D428" s="85">
        <v>44.5</v>
      </c>
      <c r="E428" s="85">
        <v>22.5</v>
      </c>
      <c r="F428" s="6" t="s">
        <v>1574</v>
      </c>
      <c r="G428" s="6"/>
      <c r="H428" s="6">
        <v>135</v>
      </c>
      <c r="I428" s="3" t="s">
        <v>1460</v>
      </c>
      <c r="J428" s="17"/>
    </row>
    <row r="429" spans="1:10" ht="12.75">
      <c r="A429" s="85">
        <v>2.4</v>
      </c>
      <c r="B429" s="85">
        <v>43</v>
      </c>
      <c r="C429" s="85">
        <v>36</v>
      </c>
      <c r="D429" s="85">
        <v>43</v>
      </c>
      <c r="E429" s="85">
        <v>36</v>
      </c>
      <c r="F429" s="6" t="s">
        <v>1387</v>
      </c>
      <c r="G429" s="6"/>
      <c r="H429" s="6">
        <v>100</v>
      </c>
      <c r="I429" s="3" t="s">
        <v>1461</v>
      </c>
      <c r="J429" s="17"/>
    </row>
    <row r="430" spans="1:10" ht="12.75">
      <c r="A430" s="85">
        <v>2.3</v>
      </c>
      <c r="B430" s="85">
        <v>55</v>
      </c>
      <c r="C430" s="85">
        <v>35</v>
      </c>
      <c r="D430" s="85">
        <v>55</v>
      </c>
      <c r="E430" s="85">
        <v>22</v>
      </c>
      <c r="F430" s="6" t="s">
        <v>1574</v>
      </c>
      <c r="G430" s="6">
        <v>8</v>
      </c>
      <c r="H430" s="6">
        <v>130</v>
      </c>
      <c r="I430" s="7" t="s">
        <v>115</v>
      </c>
      <c r="J430" s="17"/>
    </row>
    <row r="431" spans="1:10" ht="12.75">
      <c r="A431" s="85">
        <v>2.4</v>
      </c>
      <c r="B431" s="85">
        <v>57.5</v>
      </c>
      <c r="C431" s="85">
        <v>27.8</v>
      </c>
      <c r="D431" s="85">
        <v>57.5</v>
      </c>
      <c r="E431" s="85">
        <v>27.8</v>
      </c>
      <c r="F431" s="6" t="s">
        <v>1387</v>
      </c>
      <c r="G431" s="6"/>
      <c r="H431" s="6">
        <v>100</v>
      </c>
      <c r="I431" s="3" t="s">
        <v>1462</v>
      </c>
      <c r="J431" s="17"/>
    </row>
    <row r="432" spans="1:10" ht="12.75">
      <c r="A432" s="85">
        <v>2.4</v>
      </c>
      <c r="B432" s="85">
        <v>48.5</v>
      </c>
      <c r="C432" s="85">
        <v>34.5</v>
      </c>
      <c r="D432" s="85">
        <v>48.5</v>
      </c>
      <c r="E432" s="85">
        <v>34.5</v>
      </c>
      <c r="F432" s="6" t="s">
        <v>1387</v>
      </c>
      <c r="G432" s="6"/>
      <c r="H432" s="6">
        <v>100</v>
      </c>
      <c r="I432" s="3" t="s">
        <v>1463</v>
      </c>
      <c r="J432" s="17"/>
    </row>
    <row r="433" spans="1:10" ht="12.75">
      <c r="A433" s="85">
        <v>2.4</v>
      </c>
      <c r="B433" s="85">
        <v>48.5</v>
      </c>
      <c r="C433" s="85">
        <v>37.6</v>
      </c>
      <c r="D433" s="85">
        <v>48.5</v>
      </c>
      <c r="E433" s="85">
        <v>19.4</v>
      </c>
      <c r="F433" s="6" t="s">
        <v>1574</v>
      </c>
      <c r="G433" s="6"/>
      <c r="H433" s="6">
        <v>126</v>
      </c>
      <c r="I433" s="3" t="s">
        <v>1463</v>
      </c>
      <c r="J433" s="17"/>
    </row>
    <row r="434" spans="1:10" ht="12.75">
      <c r="A434" s="85">
        <v>2.4</v>
      </c>
      <c r="B434" s="85">
        <v>48.5</v>
      </c>
      <c r="C434" s="85">
        <v>34.9</v>
      </c>
      <c r="D434" s="85">
        <v>48.5</v>
      </c>
      <c r="E434" s="85">
        <v>22.1</v>
      </c>
      <c r="F434" s="6" t="s">
        <v>1574</v>
      </c>
      <c r="G434" s="6"/>
      <c r="H434" s="6">
        <v>130</v>
      </c>
      <c r="I434" s="3" t="s">
        <v>1463</v>
      </c>
      <c r="J434" s="17"/>
    </row>
    <row r="435" spans="1:10" ht="12.75">
      <c r="A435" s="85">
        <v>2.4</v>
      </c>
      <c r="B435" s="85">
        <v>48.5</v>
      </c>
      <c r="C435" s="85">
        <v>32.4</v>
      </c>
      <c r="D435" s="85">
        <v>48.5</v>
      </c>
      <c r="E435" s="85">
        <v>24.6</v>
      </c>
      <c r="F435" s="6" t="s">
        <v>1574</v>
      </c>
      <c r="G435" s="6"/>
      <c r="H435" s="6">
        <v>135</v>
      </c>
      <c r="I435" s="3" t="s">
        <v>1463</v>
      </c>
      <c r="J435" s="17"/>
    </row>
    <row r="436" spans="1:10" ht="12.75">
      <c r="A436" s="85">
        <v>2.4</v>
      </c>
      <c r="B436" s="85">
        <v>48.5</v>
      </c>
      <c r="C436" s="85">
        <v>39</v>
      </c>
      <c r="D436" s="85">
        <v>48.5</v>
      </c>
      <c r="E436" s="85">
        <v>18</v>
      </c>
      <c r="F436" s="6" t="s">
        <v>1574</v>
      </c>
      <c r="G436" s="6"/>
      <c r="H436" s="6">
        <v>140</v>
      </c>
      <c r="I436" s="3" t="s">
        <v>1463</v>
      </c>
      <c r="J436" s="17"/>
    </row>
    <row r="437" spans="1:10" ht="12.75">
      <c r="A437" s="85">
        <v>2.4</v>
      </c>
      <c r="B437" s="85">
        <v>48.5</v>
      </c>
      <c r="C437" s="85">
        <v>38</v>
      </c>
      <c r="D437" s="85">
        <v>69</v>
      </c>
      <c r="E437" s="85">
        <v>19</v>
      </c>
      <c r="F437" s="6" t="s">
        <v>1574</v>
      </c>
      <c r="G437" s="6"/>
      <c r="H437" s="6">
        <v>126</v>
      </c>
      <c r="I437" s="3" t="s">
        <v>116</v>
      </c>
      <c r="J437" s="17"/>
    </row>
    <row r="438" spans="1:10" ht="12.75">
      <c r="A438" s="85">
        <v>2.4</v>
      </c>
      <c r="B438" s="85">
        <v>48.5</v>
      </c>
      <c r="C438" s="85">
        <v>36.6</v>
      </c>
      <c r="D438" s="85">
        <v>69</v>
      </c>
      <c r="E438" s="85">
        <v>20.4</v>
      </c>
      <c r="F438" s="6" t="s">
        <v>1574</v>
      </c>
      <c r="G438" s="6"/>
      <c r="H438" s="6">
        <v>130</v>
      </c>
      <c r="I438" s="3" t="s">
        <v>116</v>
      </c>
      <c r="J438" s="17"/>
    </row>
    <row r="439" spans="1:10" ht="12.75">
      <c r="A439" s="85">
        <v>2.4</v>
      </c>
      <c r="B439" s="85">
        <v>48.5</v>
      </c>
      <c r="C439" s="85">
        <v>34.5</v>
      </c>
      <c r="D439" s="85">
        <v>48.5</v>
      </c>
      <c r="E439" s="85">
        <v>34.5</v>
      </c>
      <c r="F439" s="6" t="s">
        <v>1387</v>
      </c>
      <c r="G439" s="6"/>
      <c r="H439" s="6">
        <v>100</v>
      </c>
      <c r="I439" s="3" t="s">
        <v>1464</v>
      </c>
      <c r="J439" s="17"/>
    </row>
    <row r="440" spans="1:10" ht="12.75">
      <c r="A440" s="85">
        <v>2.4</v>
      </c>
      <c r="B440" s="85">
        <v>48.5</v>
      </c>
      <c r="C440" s="85">
        <v>38</v>
      </c>
      <c r="D440" s="85">
        <v>48.5</v>
      </c>
      <c r="E440" s="85">
        <v>19</v>
      </c>
      <c r="F440" s="6" t="s">
        <v>1574</v>
      </c>
      <c r="G440" s="6"/>
      <c r="H440" s="6">
        <v>126</v>
      </c>
      <c r="I440" s="3" t="s">
        <v>1464</v>
      </c>
      <c r="J440" s="17"/>
    </row>
    <row r="441" spans="1:10" ht="12.75">
      <c r="A441" s="85">
        <v>2.4</v>
      </c>
      <c r="B441" s="85">
        <v>48.5</v>
      </c>
      <c r="C441" s="85">
        <v>31</v>
      </c>
      <c r="D441" s="85">
        <v>48.5</v>
      </c>
      <c r="E441" s="85">
        <v>26</v>
      </c>
      <c r="F441" s="6" t="s">
        <v>1574</v>
      </c>
      <c r="G441" s="6"/>
      <c r="H441" s="6">
        <v>140</v>
      </c>
      <c r="I441" s="3" t="s">
        <v>1464</v>
      </c>
      <c r="J441" s="17"/>
    </row>
    <row r="442" spans="1:10" ht="12.75">
      <c r="A442" s="85">
        <v>2.4</v>
      </c>
      <c r="B442" s="85">
        <v>48.5</v>
      </c>
      <c r="C442" s="85">
        <v>38</v>
      </c>
      <c r="D442" s="85">
        <v>57.5</v>
      </c>
      <c r="E442" s="85">
        <v>19</v>
      </c>
      <c r="F442" s="6" t="s">
        <v>1574</v>
      </c>
      <c r="G442" s="6"/>
      <c r="H442" s="6">
        <v>126</v>
      </c>
      <c r="I442" s="3" t="s">
        <v>117</v>
      </c>
      <c r="J442" s="17"/>
    </row>
    <row r="443" spans="1:10" ht="12.75">
      <c r="A443" s="85">
        <v>2.4</v>
      </c>
      <c r="B443" s="85">
        <v>48.5</v>
      </c>
      <c r="C443" s="85">
        <v>36</v>
      </c>
      <c r="D443" s="85">
        <v>57.5</v>
      </c>
      <c r="E443" s="85">
        <v>21</v>
      </c>
      <c r="F443" s="6" t="s">
        <v>1574</v>
      </c>
      <c r="G443" s="6"/>
      <c r="H443" s="6">
        <v>130</v>
      </c>
      <c r="I443" s="3" t="s">
        <v>117</v>
      </c>
      <c r="J443" s="17"/>
    </row>
    <row r="444" spans="1:10" ht="12.75">
      <c r="A444" s="85">
        <v>2.4</v>
      </c>
      <c r="B444" s="85">
        <v>57.5</v>
      </c>
      <c r="C444" s="85">
        <v>36.7</v>
      </c>
      <c r="D444" s="85">
        <v>48.2</v>
      </c>
      <c r="E444" s="85">
        <v>20.3</v>
      </c>
      <c r="F444" s="6" t="s">
        <v>1574</v>
      </c>
      <c r="G444" s="6">
        <v>6</v>
      </c>
      <c r="H444" s="6">
        <v>125</v>
      </c>
      <c r="I444" s="3" t="s">
        <v>118</v>
      </c>
      <c r="J444" s="17"/>
    </row>
    <row r="445" spans="1:10" ht="12.75">
      <c r="A445" s="85">
        <v>2.4</v>
      </c>
      <c r="B445" s="85">
        <v>57.5</v>
      </c>
      <c r="C445" s="85">
        <v>34.2</v>
      </c>
      <c r="D445" s="85">
        <v>48.2</v>
      </c>
      <c r="E445" s="85">
        <v>22.8</v>
      </c>
      <c r="F445" s="6" t="s">
        <v>1574</v>
      </c>
      <c r="G445" s="6">
        <v>6</v>
      </c>
      <c r="H445" s="6">
        <v>130</v>
      </c>
      <c r="I445" s="3" t="s">
        <v>118</v>
      </c>
      <c r="J445" s="17"/>
    </row>
    <row r="446" spans="1:10" ht="12.75">
      <c r="A446" s="85">
        <v>2.4</v>
      </c>
      <c r="B446" s="85">
        <v>57.5</v>
      </c>
      <c r="C446" s="85">
        <v>31.7</v>
      </c>
      <c r="D446" s="85">
        <v>48.2</v>
      </c>
      <c r="E446" s="85">
        <v>25.3</v>
      </c>
      <c r="F446" s="6" t="s">
        <v>1574</v>
      </c>
      <c r="G446" s="6">
        <v>6</v>
      </c>
      <c r="H446" s="6">
        <v>135</v>
      </c>
      <c r="I446" s="3" t="s">
        <v>118</v>
      </c>
      <c r="J446" s="17"/>
    </row>
    <row r="447" spans="1:10" ht="12.75">
      <c r="A447" s="85">
        <v>2.4</v>
      </c>
      <c r="B447" s="85">
        <v>57.5</v>
      </c>
      <c r="C447" s="85">
        <v>37.5</v>
      </c>
      <c r="D447" s="85">
        <v>48.2</v>
      </c>
      <c r="E447" s="85">
        <v>19.5</v>
      </c>
      <c r="F447" s="6" t="s">
        <v>1574</v>
      </c>
      <c r="G447" s="6">
        <v>7</v>
      </c>
      <c r="H447" s="6">
        <v>126</v>
      </c>
      <c r="I447" s="3" t="s">
        <v>119</v>
      </c>
      <c r="J447" s="17"/>
    </row>
    <row r="448" spans="1:10" ht="12.75">
      <c r="A448" s="85">
        <v>2.4</v>
      </c>
      <c r="B448" s="85">
        <v>57.5</v>
      </c>
      <c r="C448" s="85">
        <v>35.7</v>
      </c>
      <c r="D448" s="85">
        <v>48.2</v>
      </c>
      <c r="E448" s="85">
        <v>21.3</v>
      </c>
      <c r="F448" s="6" t="s">
        <v>1574</v>
      </c>
      <c r="G448" s="6">
        <v>7</v>
      </c>
      <c r="H448" s="6">
        <v>130</v>
      </c>
      <c r="I448" s="3" t="s">
        <v>119</v>
      </c>
      <c r="J448" s="17"/>
    </row>
    <row r="449" spans="1:10" ht="12.75">
      <c r="A449" s="85">
        <v>2.4</v>
      </c>
      <c r="B449" s="85">
        <v>57.5</v>
      </c>
      <c r="C449" s="85">
        <v>33.2</v>
      </c>
      <c r="D449" s="85">
        <v>48.2</v>
      </c>
      <c r="E449" s="85">
        <v>23.8</v>
      </c>
      <c r="F449" s="6" t="s">
        <v>1574</v>
      </c>
      <c r="G449" s="6">
        <v>7</v>
      </c>
      <c r="H449" s="6">
        <v>135</v>
      </c>
      <c r="I449" s="3" t="s">
        <v>119</v>
      </c>
      <c r="J449" s="17"/>
    </row>
    <row r="450" spans="1:10" ht="12.75">
      <c r="A450" s="85">
        <v>2.4</v>
      </c>
      <c r="B450" s="85">
        <v>57.5</v>
      </c>
      <c r="C450" s="85">
        <v>30.7</v>
      </c>
      <c r="D450" s="85">
        <v>48.2</v>
      </c>
      <c r="E450" s="85">
        <v>26.3</v>
      </c>
      <c r="F450" s="6" t="s">
        <v>1574</v>
      </c>
      <c r="G450" s="6">
        <v>7</v>
      </c>
      <c r="H450" s="6">
        <v>140</v>
      </c>
      <c r="I450" s="3" t="s">
        <v>119</v>
      </c>
      <c r="J450" s="17"/>
    </row>
    <row r="451" spans="1:10" ht="12.75">
      <c r="A451" s="85">
        <v>2.4</v>
      </c>
      <c r="B451" s="85">
        <v>57.5</v>
      </c>
      <c r="C451" s="85">
        <v>39</v>
      </c>
      <c r="D451" s="85">
        <v>48.2</v>
      </c>
      <c r="E451" s="85">
        <v>18</v>
      </c>
      <c r="F451" s="6" t="s">
        <v>1574</v>
      </c>
      <c r="G451" s="6">
        <v>8</v>
      </c>
      <c r="H451" s="6">
        <v>130</v>
      </c>
      <c r="I451" s="3" t="s">
        <v>120</v>
      </c>
      <c r="J451" s="17"/>
    </row>
    <row r="452" spans="1:10" ht="12.75">
      <c r="A452" s="85">
        <v>2.4</v>
      </c>
      <c r="B452" s="85">
        <v>57.5</v>
      </c>
      <c r="C452" s="85">
        <v>38.2</v>
      </c>
      <c r="D452" s="85">
        <v>48.2</v>
      </c>
      <c r="E452" s="85">
        <v>18.8</v>
      </c>
      <c r="F452" s="6" t="s">
        <v>1574</v>
      </c>
      <c r="G452" s="6">
        <v>8</v>
      </c>
      <c r="H452" s="6">
        <v>135</v>
      </c>
      <c r="I452" s="3" t="s">
        <v>120</v>
      </c>
      <c r="J452" s="17"/>
    </row>
    <row r="453" spans="1:10" ht="12.75">
      <c r="A453" s="85">
        <v>2.4</v>
      </c>
      <c r="B453" s="85">
        <v>58.5</v>
      </c>
      <c r="C453" s="85">
        <v>35.7</v>
      </c>
      <c r="D453" s="85">
        <v>49.2</v>
      </c>
      <c r="E453" s="85">
        <v>21.3</v>
      </c>
      <c r="F453" s="6" t="s">
        <v>1574</v>
      </c>
      <c r="G453" s="6">
        <v>8</v>
      </c>
      <c r="H453" s="6">
        <v>140</v>
      </c>
      <c r="I453" s="3" t="s">
        <v>120</v>
      </c>
      <c r="J453" s="17"/>
    </row>
    <row r="454" spans="1:10" ht="12.75">
      <c r="A454" s="85">
        <v>2.4</v>
      </c>
      <c r="B454" s="85">
        <v>48.2</v>
      </c>
      <c r="C454" s="85">
        <v>34.2</v>
      </c>
      <c r="D454" s="85">
        <v>48.2</v>
      </c>
      <c r="E454" s="85">
        <v>22.8</v>
      </c>
      <c r="F454" s="6" t="s">
        <v>1574</v>
      </c>
      <c r="G454" s="6">
        <v>5</v>
      </c>
      <c r="H454" s="6">
        <v>120</v>
      </c>
      <c r="I454" s="3" t="s">
        <v>121</v>
      </c>
      <c r="J454" s="17"/>
    </row>
    <row r="455" spans="1:10" ht="12.75">
      <c r="A455" s="85">
        <v>2.4</v>
      </c>
      <c r="B455" s="85">
        <v>48.2</v>
      </c>
      <c r="C455" s="85">
        <v>31.7</v>
      </c>
      <c r="D455" s="85">
        <v>48.2</v>
      </c>
      <c r="E455" s="85">
        <v>25.3</v>
      </c>
      <c r="F455" s="6" t="s">
        <v>1574</v>
      </c>
      <c r="G455" s="6">
        <v>5</v>
      </c>
      <c r="H455" s="6">
        <v>126</v>
      </c>
      <c r="I455" s="3" t="s">
        <v>121</v>
      </c>
      <c r="J455" s="17"/>
    </row>
    <row r="456" spans="1:10" ht="12.75">
      <c r="A456" s="85">
        <v>2.4</v>
      </c>
      <c r="B456" s="85">
        <v>48.2</v>
      </c>
      <c r="C456" s="85">
        <v>36.7</v>
      </c>
      <c r="D456" s="85">
        <v>48.2</v>
      </c>
      <c r="E456" s="85">
        <v>20.3</v>
      </c>
      <c r="F456" s="6" t="s">
        <v>1574</v>
      </c>
      <c r="G456" s="6">
        <v>6</v>
      </c>
      <c r="H456" s="6">
        <v>126</v>
      </c>
      <c r="I456" s="3" t="s">
        <v>122</v>
      </c>
      <c r="J456" s="17"/>
    </row>
    <row r="457" spans="1:10" ht="12.75">
      <c r="A457" s="85">
        <v>2.4</v>
      </c>
      <c r="B457" s="85">
        <v>48.2</v>
      </c>
      <c r="C457" s="85">
        <v>34.2</v>
      </c>
      <c r="D457" s="85">
        <v>48.2</v>
      </c>
      <c r="E457" s="85">
        <v>22.8</v>
      </c>
      <c r="F457" s="6" t="s">
        <v>1574</v>
      </c>
      <c r="G457" s="6">
        <v>6</v>
      </c>
      <c r="H457" s="6">
        <v>130</v>
      </c>
      <c r="I457" s="3" t="s">
        <v>122</v>
      </c>
      <c r="J457" s="17"/>
    </row>
    <row r="458" spans="1:10" ht="12.75">
      <c r="A458" s="85">
        <v>2.4</v>
      </c>
      <c r="B458" s="85">
        <v>48.2</v>
      </c>
      <c r="C458" s="85">
        <v>31.7</v>
      </c>
      <c r="D458" s="85">
        <v>48.2</v>
      </c>
      <c r="E458" s="85">
        <v>25.3</v>
      </c>
      <c r="F458" s="6" t="s">
        <v>1574</v>
      </c>
      <c r="G458" s="6">
        <v>6</v>
      </c>
      <c r="H458" s="6">
        <v>135</v>
      </c>
      <c r="I458" s="3" t="s">
        <v>122</v>
      </c>
      <c r="J458" s="17"/>
    </row>
    <row r="459" spans="1:10" ht="12.75">
      <c r="A459" s="85">
        <v>2.4</v>
      </c>
      <c r="B459" s="85">
        <v>48.2</v>
      </c>
      <c r="C459" s="85">
        <v>37.2</v>
      </c>
      <c r="D459" s="85">
        <v>48.2</v>
      </c>
      <c r="E459" s="85">
        <v>19.8</v>
      </c>
      <c r="F459" s="6" t="s">
        <v>1574</v>
      </c>
      <c r="G459" s="6">
        <v>7</v>
      </c>
      <c r="H459" s="6">
        <v>126</v>
      </c>
      <c r="I459" s="3" t="s">
        <v>124</v>
      </c>
      <c r="J459" s="17"/>
    </row>
    <row r="460" spans="1:10" ht="12.75">
      <c r="A460" s="85">
        <v>2.4</v>
      </c>
      <c r="B460" s="85">
        <v>48.2</v>
      </c>
      <c r="C460" s="85">
        <v>35.7</v>
      </c>
      <c r="D460" s="85">
        <v>48.2</v>
      </c>
      <c r="E460" s="85">
        <v>21.3</v>
      </c>
      <c r="F460" s="6" t="s">
        <v>1574</v>
      </c>
      <c r="G460" s="6">
        <v>7</v>
      </c>
      <c r="H460" s="6">
        <v>130</v>
      </c>
      <c r="I460" s="3" t="s">
        <v>124</v>
      </c>
      <c r="J460" s="17"/>
    </row>
    <row r="461" spans="1:10" ht="12.75">
      <c r="A461" s="85">
        <v>2.4</v>
      </c>
      <c r="B461" s="85">
        <v>48.2</v>
      </c>
      <c r="C461" s="85">
        <v>33.2</v>
      </c>
      <c r="D461" s="85">
        <v>48.2</v>
      </c>
      <c r="E461" s="85">
        <v>23.8</v>
      </c>
      <c r="F461" s="6" t="s">
        <v>1574</v>
      </c>
      <c r="G461" s="6">
        <v>7</v>
      </c>
      <c r="H461" s="6">
        <v>135</v>
      </c>
      <c r="I461" s="3" t="s">
        <v>124</v>
      </c>
      <c r="J461" s="17"/>
    </row>
    <row r="462" spans="1:10" ht="12.75">
      <c r="A462" s="85">
        <v>2.4</v>
      </c>
      <c r="B462" s="85">
        <v>48.2</v>
      </c>
      <c r="C462" s="85">
        <v>39</v>
      </c>
      <c r="D462" s="85">
        <v>48.2</v>
      </c>
      <c r="E462" s="85">
        <v>18</v>
      </c>
      <c r="F462" s="6" t="s">
        <v>1574</v>
      </c>
      <c r="G462" s="6">
        <v>8</v>
      </c>
      <c r="H462" s="6">
        <v>130</v>
      </c>
      <c r="I462" s="3" t="s">
        <v>125</v>
      </c>
      <c r="J462" s="17"/>
    </row>
    <row r="463" spans="1:10" ht="12.75">
      <c r="A463" s="85">
        <v>2.4</v>
      </c>
      <c r="B463" s="85">
        <v>48.2</v>
      </c>
      <c r="C463" s="85">
        <v>38.2</v>
      </c>
      <c r="D463" s="85">
        <v>48.2</v>
      </c>
      <c r="E463" s="85">
        <v>18.8</v>
      </c>
      <c r="F463" s="6" t="s">
        <v>1574</v>
      </c>
      <c r="G463" s="6">
        <v>8</v>
      </c>
      <c r="H463" s="6">
        <v>135</v>
      </c>
      <c r="I463" s="3" t="s">
        <v>125</v>
      </c>
      <c r="J463" s="17"/>
    </row>
    <row r="464" spans="1:10" ht="12.75">
      <c r="A464" s="85">
        <v>2.4</v>
      </c>
      <c r="B464" s="85">
        <v>48.2</v>
      </c>
      <c r="C464" s="85">
        <v>35.7</v>
      </c>
      <c r="D464" s="85">
        <v>48.2</v>
      </c>
      <c r="E464" s="85">
        <v>21.3</v>
      </c>
      <c r="F464" s="6" t="s">
        <v>1574</v>
      </c>
      <c r="G464" s="6">
        <v>8</v>
      </c>
      <c r="H464" s="6">
        <v>140</v>
      </c>
      <c r="I464" s="3" t="s">
        <v>125</v>
      </c>
      <c r="J464" s="17"/>
    </row>
    <row r="465" spans="1:10" ht="12.75">
      <c r="A465" s="85">
        <v>2.4</v>
      </c>
      <c r="B465" s="85">
        <v>42.5</v>
      </c>
      <c r="C465" s="85">
        <v>35</v>
      </c>
      <c r="D465" s="85">
        <v>42.5</v>
      </c>
      <c r="E465" s="85">
        <v>35</v>
      </c>
      <c r="F465" s="6" t="s">
        <v>1387</v>
      </c>
      <c r="G465" s="6"/>
      <c r="H465" s="6">
        <v>100</v>
      </c>
      <c r="I465" s="3" t="s">
        <v>1465</v>
      </c>
      <c r="J465" s="17"/>
    </row>
    <row r="466" spans="1:10" ht="12.75">
      <c r="A466" s="85">
        <v>2.4</v>
      </c>
      <c r="B466" s="85">
        <v>42.5</v>
      </c>
      <c r="C466" s="85">
        <v>38</v>
      </c>
      <c r="D466" s="85">
        <v>48.5</v>
      </c>
      <c r="E466" s="85">
        <v>19</v>
      </c>
      <c r="F466" s="6" t="s">
        <v>1574</v>
      </c>
      <c r="G466" s="6"/>
      <c r="H466" s="6">
        <v>126</v>
      </c>
      <c r="I466" s="3" t="s">
        <v>1465</v>
      </c>
      <c r="J466" s="17"/>
    </row>
    <row r="467" spans="1:10" ht="12.75">
      <c r="A467" s="85">
        <v>2.4</v>
      </c>
      <c r="B467" s="85">
        <v>42.5</v>
      </c>
      <c r="C467" s="85">
        <v>36</v>
      </c>
      <c r="D467" s="85">
        <v>48.5</v>
      </c>
      <c r="E467" s="85">
        <v>21</v>
      </c>
      <c r="F467" s="6" t="s">
        <v>1574</v>
      </c>
      <c r="G467" s="6"/>
      <c r="H467" s="6">
        <v>130</v>
      </c>
      <c r="I467" s="3" t="s">
        <v>1465</v>
      </c>
      <c r="J467" s="17"/>
    </row>
    <row r="468" spans="1:10" ht="12.75">
      <c r="A468" s="85">
        <v>2.4</v>
      </c>
      <c r="B468" s="85">
        <v>42.5</v>
      </c>
      <c r="C468" s="85">
        <v>33.5</v>
      </c>
      <c r="D468" s="85">
        <v>48.5</v>
      </c>
      <c r="E468" s="85">
        <v>23.5</v>
      </c>
      <c r="F468" s="6" t="s">
        <v>1574</v>
      </c>
      <c r="G468" s="6"/>
      <c r="H468" s="6">
        <v>135</v>
      </c>
      <c r="I468" s="3" t="s">
        <v>1465</v>
      </c>
      <c r="J468" s="17"/>
    </row>
    <row r="469" spans="1:10" ht="12.75">
      <c r="A469" s="85">
        <v>2.4</v>
      </c>
      <c r="B469" s="85">
        <v>57.5</v>
      </c>
      <c r="C469" s="85">
        <v>35.3</v>
      </c>
      <c r="D469" s="85">
        <v>57.5</v>
      </c>
      <c r="E469" s="85">
        <v>35.3</v>
      </c>
      <c r="F469" s="6" t="s">
        <v>1387</v>
      </c>
      <c r="G469" s="6"/>
      <c r="H469" s="6">
        <v>100</v>
      </c>
      <c r="I469" s="3" t="s">
        <v>1466</v>
      </c>
      <c r="J469" s="17"/>
    </row>
    <row r="470" spans="1:10" ht="12.75">
      <c r="A470" s="85">
        <v>2.4</v>
      </c>
      <c r="B470" s="85">
        <v>48.5</v>
      </c>
      <c r="C470" s="85">
        <v>37.5</v>
      </c>
      <c r="D470" s="85">
        <v>48.5</v>
      </c>
      <c r="E470" s="85">
        <v>37.5</v>
      </c>
      <c r="F470" s="6" t="s">
        <v>1387</v>
      </c>
      <c r="G470" s="6"/>
      <c r="H470" s="6">
        <v>100</v>
      </c>
      <c r="I470" s="3" t="s">
        <v>1467</v>
      </c>
      <c r="J470" s="17"/>
    </row>
    <row r="471" spans="1:11" ht="12.75">
      <c r="A471" s="85">
        <v>2.4</v>
      </c>
      <c r="B471" s="85">
        <v>48.2</v>
      </c>
      <c r="C471" s="85">
        <v>30</v>
      </c>
      <c r="D471" s="85">
        <v>48.2</v>
      </c>
      <c r="E471" s="85">
        <v>30</v>
      </c>
      <c r="F471" s="6" t="s">
        <v>1574</v>
      </c>
      <c r="G471" s="6">
        <v>1</v>
      </c>
      <c r="H471" s="94">
        <v>120126130</v>
      </c>
      <c r="I471" s="3" t="s">
        <v>333</v>
      </c>
      <c r="J471" s="135">
        <v>37748</v>
      </c>
      <c r="K471" s="90" t="s">
        <v>701</v>
      </c>
    </row>
    <row r="472" spans="1:11" ht="12.75">
      <c r="A472" s="85">
        <v>2.4</v>
      </c>
      <c r="B472" s="85">
        <v>48.2</v>
      </c>
      <c r="C472" s="85">
        <v>34.5</v>
      </c>
      <c r="D472" s="85">
        <v>48.2</v>
      </c>
      <c r="E472" s="85">
        <v>34.5</v>
      </c>
      <c r="F472" s="6" t="s">
        <v>1387</v>
      </c>
      <c r="G472" s="6"/>
      <c r="H472" s="6">
        <v>100</v>
      </c>
      <c r="I472" s="3" t="s">
        <v>334</v>
      </c>
      <c r="J472" s="135">
        <v>37748</v>
      </c>
      <c r="K472" s="90" t="s">
        <v>701</v>
      </c>
    </row>
    <row r="473" spans="1:11" ht="12.75">
      <c r="A473" s="85">
        <v>2.4</v>
      </c>
      <c r="B473" s="85">
        <v>48.5</v>
      </c>
      <c r="C473" s="85">
        <v>44</v>
      </c>
      <c r="D473" s="85">
        <v>48.5</v>
      </c>
      <c r="E473" s="85">
        <v>30</v>
      </c>
      <c r="F473" s="6" t="s">
        <v>1574</v>
      </c>
      <c r="G473" s="6">
        <v>1</v>
      </c>
      <c r="H473" s="94">
        <v>120126130</v>
      </c>
      <c r="I473" s="3" t="s">
        <v>332</v>
      </c>
      <c r="J473" s="135">
        <v>37748</v>
      </c>
      <c r="K473" s="90" t="s">
        <v>701</v>
      </c>
    </row>
    <row r="474" spans="1:11" ht="12.75">
      <c r="A474" s="85">
        <v>2.6</v>
      </c>
      <c r="B474" s="85">
        <v>66</v>
      </c>
      <c r="C474" s="85">
        <f>120/2-17</f>
        <v>43</v>
      </c>
      <c r="D474" s="85">
        <v>66</v>
      </c>
      <c r="E474" s="85">
        <f>120/2-31</f>
        <v>29</v>
      </c>
      <c r="F474" s="6" t="s">
        <v>1574</v>
      </c>
      <c r="G474" s="6">
        <v>1</v>
      </c>
      <c r="H474" s="6">
        <v>120</v>
      </c>
      <c r="I474" s="3" t="s">
        <v>1132</v>
      </c>
      <c r="J474" s="135">
        <v>37709</v>
      </c>
      <c r="K474" s="90" t="s">
        <v>158</v>
      </c>
    </row>
    <row r="475" spans="1:10" ht="12.75">
      <c r="A475" s="85">
        <v>2.4</v>
      </c>
      <c r="B475" s="85">
        <v>41</v>
      </c>
      <c r="C475" s="85">
        <v>29.5</v>
      </c>
      <c r="D475" s="85">
        <v>41</v>
      </c>
      <c r="E475" s="85">
        <v>29.5</v>
      </c>
      <c r="F475" s="6" t="s">
        <v>1574</v>
      </c>
      <c r="G475" s="6"/>
      <c r="H475" s="6"/>
      <c r="I475" s="3" t="s">
        <v>126</v>
      </c>
      <c r="J475" s="17"/>
    </row>
    <row r="476" spans="1:11" ht="12.75">
      <c r="A476" s="85">
        <v>2.8</v>
      </c>
      <c r="B476" s="85">
        <v>45</v>
      </c>
      <c r="C476" s="85">
        <v>32</v>
      </c>
      <c r="D476" s="85">
        <v>45</v>
      </c>
      <c r="E476" s="85">
        <v>21</v>
      </c>
      <c r="F476" s="6" t="s">
        <v>1574</v>
      </c>
      <c r="G476" s="6"/>
      <c r="H476" s="6">
        <v>135</v>
      </c>
      <c r="I476" s="3" t="s">
        <v>535</v>
      </c>
      <c r="J476" s="135">
        <v>37254</v>
      </c>
      <c r="K476" s="90" t="s">
        <v>414</v>
      </c>
    </row>
    <row r="477" spans="1:11" ht="12.75">
      <c r="A477" s="85">
        <v>2.4</v>
      </c>
      <c r="B477" s="85">
        <v>78</v>
      </c>
      <c r="C477" s="85">
        <v>36.2</v>
      </c>
      <c r="D477" s="85">
        <v>66</v>
      </c>
      <c r="E477" s="85">
        <v>16.7</v>
      </c>
      <c r="F477" s="6" t="s">
        <v>1574</v>
      </c>
      <c r="G477" s="6" t="s">
        <v>1577</v>
      </c>
      <c r="H477" s="6">
        <v>130</v>
      </c>
      <c r="I477" s="7" t="s">
        <v>948</v>
      </c>
      <c r="J477" s="135">
        <v>37089</v>
      </c>
      <c r="K477" s="90" t="s">
        <v>279</v>
      </c>
    </row>
    <row r="478" spans="1:11" ht="12.75">
      <c r="A478" s="85">
        <v>2.4</v>
      </c>
      <c r="B478" s="85">
        <v>78</v>
      </c>
      <c r="C478" s="85">
        <f>135/2-37</f>
        <v>30.5</v>
      </c>
      <c r="D478" s="85">
        <v>66</v>
      </c>
      <c r="E478" s="85">
        <f>135/2-48</f>
        <v>19.5</v>
      </c>
      <c r="F478" s="6" t="s">
        <v>1574</v>
      </c>
      <c r="G478" s="6" t="s">
        <v>1577</v>
      </c>
      <c r="H478" s="6">
        <v>153</v>
      </c>
      <c r="I478" s="7" t="s">
        <v>949</v>
      </c>
      <c r="J478" s="135">
        <v>37470</v>
      </c>
      <c r="K478" s="90" t="s">
        <v>158</v>
      </c>
    </row>
    <row r="479" spans="1:11" ht="12.75">
      <c r="A479" s="85">
        <v>2.5</v>
      </c>
      <c r="B479" s="85">
        <f>35*2</f>
        <v>70</v>
      </c>
      <c r="C479" s="85">
        <v>31.8</v>
      </c>
      <c r="D479" s="85">
        <v>70</v>
      </c>
      <c r="E479" s="85">
        <v>18</v>
      </c>
      <c r="F479" s="6" t="s">
        <v>1574</v>
      </c>
      <c r="G479" s="6" t="s">
        <v>1577</v>
      </c>
      <c r="H479" s="6">
        <v>130</v>
      </c>
      <c r="I479" s="7" t="s">
        <v>795</v>
      </c>
      <c r="J479" s="135">
        <v>38328</v>
      </c>
      <c r="K479" s="90" t="s">
        <v>158</v>
      </c>
    </row>
    <row r="480" spans="1:10" ht="12.75">
      <c r="A480" s="85">
        <v>2.4</v>
      </c>
      <c r="B480" s="85">
        <v>41.3</v>
      </c>
      <c r="C480" s="85">
        <v>32.5</v>
      </c>
      <c r="D480" s="85">
        <v>41.3</v>
      </c>
      <c r="E480" s="85">
        <v>32.5</v>
      </c>
      <c r="F480" s="6" t="s">
        <v>1387</v>
      </c>
      <c r="G480" s="6"/>
      <c r="H480" s="6">
        <v>100</v>
      </c>
      <c r="I480" s="3" t="s">
        <v>1468</v>
      </c>
      <c r="J480" s="17"/>
    </row>
    <row r="481" spans="1:10" ht="12.75">
      <c r="A481" s="85">
        <v>2.4</v>
      </c>
      <c r="B481" s="85">
        <v>47.6</v>
      </c>
      <c r="C481" s="85">
        <v>32.5</v>
      </c>
      <c r="D481" s="85">
        <v>47.6</v>
      </c>
      <c r="E481" s="85">
        <v>32.5</v>
      </c>
      <c r="F481" s="6" t="s">
        <v>1387</v>
      </c>
      <c r="G481" s="6"/>
      <c r="H481" s="6">
        <v>100</v>
      </c>
      <c r="I481" s="3" t="s">
        <v>1469</v>
      </c>
      <c r="J481" s="17"/>
    </row>
    <row r="482" spans="1:10" ht="12.75">
      <c r="A482" s="85">
        <v>2.4</v>
      </c>
      <c r="B482" s="85">
        <v>47.6</v>
      </c>
      <c r="C482" s="85">
        <v>32</v>
      </c>
      <c r="D482" s="85">
        <v>47.6</v>
      </c>
      <c r="E482" s="85">
        <v>22</v>
      </c>
      <c r="F482" s="6" t="s">
        <v>1574</v>
      </c>
      <c r="G482" s="6">
        <v>7</v>
      </c>
      <c r="H482" s="6"/>
      <c r="I482" s="3" t="s">
        <v>127</v>
      </c>
      <c r="J482" s="17"/>
    </row>
    <row r="483" spans="1:10" ht="12.75">
      <c r="A483" s="85">
        <v>2.4</v>
      </c>
      <c r="B483" s="85">
        <v>50.8</v>
      </c>
      <c r="C483" s="85">
        <v>32</v>
      </c>
      <c r="D483" s="85">
        <v>50.8</v>
      </c>
      <c r="E483" s="85">
        <v>22</v>
      </c>
      <c r="F483" s="6" t="s">
        <v>1574</v>
      </c>
      <c r="G483" s="6">
        <v>7</v>
      </c>
      <c r="H483" s="6"/>
      <c r="I483" s="3" t="s">
        <v>128</v>
      </c>
      <c r="J483" s="17"/>
    </row>
    <row r="484" spans="1:10" ht="12.75">
      <c r="A484" s="85">
        <v>2.4</v>
      </c>
      <c r="B484" s="85">
        <v>47.6</v>
      </c>
      <c r="C484" s="85">
        <v>34</v>
      </c>
      <c r="D484" s="85">
        <v>47.6</v>
      </c>
      <c r="E484" s="85">
        <v>20</v>
      </c>
      <c r="F484" s="6" t="s">
        <v>1574</v>
      </c>
      <c r="G484" s="6">
        <v>8</v>
      </c>
      <c r="H484" s="6"/>
      <c r="I484" s="3" t="s">
        <v>129</v>
      </c>
      <c r="J484" s="17"/>
    </row>
    <row r="485" spans="1:10" ht="12.75">
      <c r="A485" s="85">
        <v>2.4</v>
      </c>
      <c r="B485" s="85">
        <v>50.8</v>
      </c>
      <c r="C485" s="85">
        <v>34</v>
      </c>
      <c r="D485" s="85">
        <v>50.8</v>
      </c>
      <c r="E485" s="85">
        <v>20</v>
      </c>
      <c r="F485" s="6" t="s">
        <v>1574</v>
      </c>
      <c r="G485" s="6">
        <v>8</v>
      </c>
      <c r="H485" s="6"/>
      <c r="I485" s="3" t="s">
        <v>130</v>
      </c>
      <c r="J485" s="17"/>
    </row>
    <row r="486" spans="1:11" ht="12.75">
      <c r="A486" s="85">
        <v>2.6</v>
      </c>
      <c r="B486" s="85">
        <v>48</v>
      </c>
      <c r="C486" s="85">
        <v>35</v>
      </c>
      <c r="D486" s="85">
        <v>48</v>
      </c>
      <c r="E486" s="85">
        <v>35</v>
      </c>
      <c r="F486" s="6" t="s">
        <v>1387</v>
      </c>
      <c r="G486" s="6"/>
      <c r="H486" s="6">
        <v>100</v>
      </c>
      <c r="I486" s="3" t="s">
        <v>505</v>
      </c>
      <c r="J486" s="135">
        <v>37253</v>
      </c>
      <c r="K486" s="90" t="s">
        <v>414</v>
      </c>
    </row>
    <row r="487" spans="1:10" ht="12.75">
      <c r="A487" s="85">
        <v>2.4</v>
      </c>
      <c r="B487" s="85">
        <v>40</v>
      </c>
      <c r="C487" s="85">
        <v>34</v>
      </c>
      <c r="D487" s="85">
        <v>40</v>
      </c>
      <c r="E487" s="85">
        <v>34</v>
      </c>
      <c r="F487" s="6" t="s">
        <v>1387</v>
      </c>
      <c r="G487" s="6"/>
      <c r="H487" s="6">
        <v>100</v>
      </c>
      <c r="I487" s="3" t="s">
        <v>1470</v>
      </c>
      <c r="J487" s="17"/>
    </row>
    <row r="488" spans="1:10" ht="12.75">
      <c r="A488" s="85">
        <v>2.4</v>
      </c>
      <c r="B488" s="85">
        <v>37</v>
      </c>
      <c r="C488" s="85">
        <v>37</v>
      </c>
      <c r="D488" s="85">
        <v>54.5</v>
      </c>
      <c r="E488" s="85">
        <v>21</v>
      </c>
      <c r="F488" s="6" t="s">
        <v>1574</v>
      </c>
      <c r="G488" s="49" t="s">
        <v>1577</v>
      </c>
      <c r="H488" s="6"/>
      <c r="I488" s="3" t="s">
        <v>131</v>
      </c>
      <c r="J488" s="17"/>
    </row>
    <row r="489" spans="1:10" ht="12.75">
      <c r="A489" s="85">
        <v>2.4</v>
      </c>
      <c r="B489" s="85">
        <v>40</v>
      </c>
      <c r="C489" s="85">
        <v>41.5</v>
      </c>
      <c r="D489" s="85">
        <v>41</v>
      </c>
      <c r="E489" s="85">
        <v>22.5</v>
      </c>
      <c r="F489" s="6" t="s">
        <v>1574</v>
      </c>
      <c r="G489" s="6">
        <v>6</v>
      </c>
      <c r="H489" s="6">
        <v>130</v>
      </c>
      <c r="I489" s="3" t="s">
        <v>132</v>
      </c>
      <c r="J489" s="17"/>
    </row>
    <row r="490" spans="1:10" ht="12.75">
      <c r="A490" s="85">
        <v>2.4</v>
      </c>
      <c r="B490" s="85">
        <v>40</v>
      </c>
      <c r="C490" s="85">
        <v>38.5</v>
      </c>
      <c r="D490" s="85">
        <v>41</v>
      </c>
      <c r="E490" s="85">
        <v>25.5</v>
      </c>
      <c r="F490" s="6" t="s">
        <v>1574</v>
      </c>
      <c r="G490" s="6">
        <v>7</v>
      </c>
      <c r="H490" s="6">
        <v>135</v>
      </c>
      <c r="I490" s="3" t="s">
        <v>133</v>
      </c>
      <c r="J490" s="17"/>
    </row>
    <row r="491" spans="1:10" ht="12.75">
      <c r="A491" s="85">
        <v>2.4</v>
      </c>
      <c r="B491" s="85">
        <v>40</v>
      </c>
      <c r="C491" s="85">
        <v>43</v>
      </c>
      <c r="D491" s="85">
        <v>41</v>
      </c>
      <c r="E491" s="85">
        <v>21</v>
      </c>
      <c r="F491" s="6" t="s">
        <v>1574</v>
      </c>
      <c r="G491" s="6">
        <v>7</v>
      </c>
      <c r="H491" s="6">
        <v>126</v>
      </c>
      <c r="I491" s="3" t="s">
        <v>134</v>
      </c>
      <c r="J491" s="17"/>
    </row>
    <row r="492" spans="1:10" ht="12.75">
      <c r="A492" s="85">
        <v>2.4</v>
      </c>
      <c r="B492" s="85">
        <v>40</v>
      </c>
      <c r="C492" s="85">
        <v>39.5</v>
      </c>
      <c r="D492" s="85">
        <v>41</v>
      </c>
      <c r="E492" s="85">
        <v>20.5</v>
      </c>
      <c r="F492" s="6" t="s">
        <v>1574</v>
      </c>
      <c r="G492" s="6">
        <v>8</v>
      </c>
      <c r="H492" s="6">
        <v>135</v>
      </c>
      <c r="I492" s="3" t="s">
        <v>135</v>
      </c>
      <c r="J492" s="17"/>
    </row>
    <row r="493" spans="1:10" ht="12.75">
      <c r="A493" s="85">
        <v>2.4</v>
      </c>
      <c r="B493" s="85">
        <v>40</v>
      </c>
      <c r="C493" s="85">
        <v>42</v>
      </c>
      <c r="D493" s="85">
        <v>41</v>
      </c>
      <c r="E493" s="85">
        <v>18</v>
      </c>
      <c r="F493" s="6" t="s">
        <v>1574</v>
      </c>
      <c r="G493" s="6">
        <v>8</v>
      </c>
      <c r="H493" s="6">
        <v>130</v>
      </c>
      <c r="I493" s="3" t="s">
        <v>136</v>
      </c>
      <c r="J493" s="17"/>
    </row>
    <row r="494" spans="1:10" ht="12.75">
      <c r="A494" s="85">
        <v>2.4</v>
      </c>
      <c r="B494" s="85">
        <v>40</v>
      </c>
      <c r="C494" s="85">
        <v>34</v>
      </c>
      <c r="D494" s="85">
        <v>40</v>
      </c>
      <c r="E494" s="85">
        <v>34</v>
      </c>
      <c r="F494" s="6" t="s">
        <v>1387</v>
      </c>
      <c r="G494" s="6"/>
      <c r="H494" s="6">
        <v>100</v>
      </c>
      <c r="I494" s="3" t="s">
        <v>1471</v>
      </c>
      <c r="J494" s="17"/>
    </row>
    <row r="495" spans="1:11" ht="12.75">
      <c r="A495" s="85">
        <v>2.6</v>
      </c>
      <c r="B495" s="85">
        <v>40</v>
      </c>
      <c r="C495" s="85">
        <v>38.5</v>
      </c>
      <c r="D495" s="85">
        <v>41</v>
      </c>
      <c r="E495" s="85">
        <v>25.5</v>
      </c>
      <c r="F495" s="6" t="s">
        <v>1574</v>
      </c>
      <c r="G495" s="6"/>
      <c r="H495" s="6">
        <v>135</v>
      </c>
      <c r="I495" s="3" t="s">
        <v>536</v>
      </c>
      <c r="J495" s="135">
        <v>37254</v>
      </c>
      <c r="K495" s="90" t="s">
        <v>414</v>
      </c>
    </row>
    <row r="496" spans="1:11" ht="12.75">
      <c r="A496" s="85">
        <v>2.6</v>
      </c>
      <c r="B496" s="85">
        <v>45</v>
      </c>
      <c r="C496" s="85">
        <v>34</v>
      </c>
      <c r="D496" s="85">
        <v>45</v>
      </c>
      <c r="E496" s="85">
        <v>22</v>
      </c>
      <c r="F496" s="6" t="s">
        <v>1574</v>
      </c>
      <c r="G496" s="6"/>
      <c r="H496" s="6">
        <v>135</v>
      </c>
      <c r="I496" s="3" t="s">
        <v>537</v>
      </c>
      <c r="J496" s="135">
        <v>37254</v>
      </c>
      <c r="K496" s="90" t="s">
        <v>414</v>
      </c>
    </row>
    <row r="497" spans="1:10" ht="12.75">
      <c r="A497" s="85">
        <v>2.4</v>
      </c>
      <c r="B497" s="85">
        <v>42</v>
      </c>
      <c r="C497" s="85">
        <v>34</v>
      </c>
      <c r="D497" s="85">
        <v>42</v>
      </c>
      <c r="E497" s="85">
        <v>34</v>
      </c>
      <c r="F497" s="6" t="s">
        <v>1387</v>
      </c>
      <c r="G497" s="6"/>
      <c r="H497" s="6">
        <v>100</v>
      </c>
      <c r="I497" s="3" t="s">
        <v>1472</v>
      </c>
      <c r="J497" s="17"/>
    </row>
    <row r="498" spans="1:11" ht="12.75">
      <c r="A498" s="85">
        <v>2.6</v>
      </c>
      <c r="B498" s="85">
        <v>46</v>
      </c>
      <c r="C498" s="85">
        <v>34</v>
      </c>
      <c r="D498" s="85">
        <v>46</v>
      </c>
      <c r="E498" s="85">
        <v>34</v>
      </c>
      <c r="F498" s="6" t="s">
        <v>1387</v>
      </c>
      <c r="G498" s="6"/>
      <c r="H498" s="6">
        <v>100</v>
      </c>
      <c r="I498" s="3" t="s">
        <v>570</v>
      </c>
      <c r="J498" s="135">
        <v>37253</v>
      </c>
      <c r="K498" s="90" t="s">
        <v>414</v>
      </c>
    </row>
    <row r="499" spans="1:10" ht="12.75">
      <c r="A499" s="85">
        <v>2.6</v>
      </c>
      <c r="B499" s="85">
        <v>52</v>
      </c>
      <c r="C499" s="85">
        <v>34</v>
      </c>
      <c r="D499" s="85">
        <v>52</v>
      </c>
      <c r="E499" s="85">
        <v>21</v>
      </c>
      <c r="F499" s="6" t="s">
        <v>1574</v>
      </c>
      <c r="G499" s="6">
        <v>8</v>
      </c>
      <c r="H499" s="6">
        <v>135</v>
      </c>
      <c r="I499" s="3" t="s">
        <v>140</v>
      </c>
      <c r="J499" s="17"/>
    </row>
    <row r="500" spans="1:10" ht="12.75">
      <c r="A500" s="85">
        <v>2.4</v>
      </c>
      <c r="B500" s="85">
        <v>45</v>
      </c>
      <c r="C500" s="85">
        <v>34</v>
      </c>
      <c r="D500" s="85">
        <v>45</v>
      </c>
      <c r="E500" s="85">
        <v>22</v>
      </c>
      <c r="F500" s="6" t="s">
        <v>1574</v>
      </c>
      <c r="G500" s="6">
        <v>8</v>
      </c>
      <c r="H500" s="6">
        <v>135</v>
      </c>
      <c r="I500" s="3" t="s">
        <v>141</v>
      </c>
      <c r="J500" s="17"/>
    </row>
    <row r="501" spans="1:10" ht="12.75">
      <c r="A501" s="85">
        <v>2.4</v>
      </c>
      <c r="B501" s="85">
        <v>45</v>
      </c>
      <c r="C501" s="85">
        <v>36.5</v>
      </c>
      <c r="D501" s="85">
        <v>45</v>
      </c>
      <c r="E501" s="85">
        <v>19.5</v>
      </c>
      <c r="F501" s="6" t="s">
        <v>1574</v>
      </c>
      <c r="G501" s="6">
        <v>8</v>
      </c>
      <c r="H501" s="6">
        <v>130</v>
      </c>
      <c r="I501" s="3" t="s">
        <v>142</v>
      </c>
      <c r="J501" s="17"/>
    </row>
    <row r="502" spans="1:10" ht="12.75">
      <c r="A502" s="85">
        <v>2.4</v>
      </c>
      <c r="B502" s="85">
        <v>38</v>
      </c>
      <c r="C502" s="85">
        <v>32</v>
      </c>
      <c r="D502" s="85">
        <v>38</v>
      </c>
      <c r="E502" s="85">
        <v>32</v>
      </c>
      <c r="F502" s="6" t="s">
        <v>1387</v>
      </c>
      <c r="G502" s="6"/>
      <c r="H502" s="6">
        <v>100</v>
      </c>
      <c r="I502" s="3" t="s">
        <v>1473</v>
      </c>
      <c r="J502" s="17"/>
    </row>
    <row r="503" spans="1:11" ht="12.75">
      <c r="A503" s="85">
        <v>2.8</v>
      </c>
      <c r="B503" s="85">
        <v>58</v>
      </c>
      <c r="C503" s="85">
        <v>22</v>
      </c>
      <c r="D503" s="85">
        <v>58</v>
      </c>
      <c r="E503" s="85">
        <v>35</v>
      </c>
      <c r="F503" s="6" t="s">
        <v>1387</v>
      </c>
      <c r="G503" s="6"/>
      <c r="H503" s="6">
        <v>100</v>
      </c>
      <c r="I503" s="3" t="s">
        <v>571</v>
      </c>
      <c r="J503" s="135">
        <v>37253</v>
      </c>
      <c r="K503" s="90" t="s">
        <v>414</v>
      </c>
    </row>
    <row r="504" spans="1:11" ht="12.75">
      <c r="A504" s="85">
        <v>2.8</v>
      </c>
      <c r="B504" s="85">
        <v>58</v>
      </c>
      <c r="C504" s="85">
        <v>35</v>
      </c>
      <c r="D504" s="85">
        <v>58</v>
      </c>
      <c r="E504" s="85">
        <v>20</v>
      </c>
      <c r="F504" s="6" t="s">
        <v>1574</v>
      </c>
      <c r="G504" s="6"/>
      <c r="H504" s="6">
        <v>135</v>
      </c>
      <c r="I504" s="3" t="s">
        <v>538</v>
      </c>
      <c r="J504" s="135">
        <v>37254</v>
      </c>
      <c r="K504" s="90" t="s">
        <v>414</v>
      </c>
    </row>
    <row r="505" spans="1:10" ht="12.75">
      <c r="A505" s="85">
        <v>2.4</v>
      </c>
      <c r="B505" s="85">
        <v>38</v>
      </c>
      <c r="C505" s="85">
        <v>38</v>
      </c>
      <c r="D505" s="85">
        <v>38</v>
      </c>
      <c r="E505" s="85">
        <v>38</v>
      </c>
      <c r="F505" s="6" t="s">
        <v>1387</v>
      </c>
      <c r="G505" s="6"/>
      <c r="H505" s="6">
        <v>100</v>
      </c>
      <c r="I505" s="3" t="s">
        <v>1475</v>
      </c>
      <c r="J505" s="17"/>
    </row>
    <row r="506" spans="1:10" ht="12.75">
      <c r="A506" s="85">
        <v>2.4</v>
      </c>
      <c r="B506" s="85">
        <v>45</v>
      </c>
      <c r="C506" s="85">
        <v>28.1</v>
      </c>
      <c r="D506" s="85">
        <v>45</v>
      </c>
      <c r="E506" s="85">
        <v>21.9</v>
      </c>
      <c r="F506" s="6" t="s">
        <v>1574</v>
      </c>
      <c r="G506" s="49" t="s">
        <v>1577</v>
      </c>
      <c r="H506" s="6">
        <v>130</v>
      </c>
      <c r="I506" s="3" t="s">
        <v>1475</v>
      </c>
      <c r="J506" s="17"/>
    </row>
    <row r="507" spans="1:10" ht="12.75">
      <c r="A507" s="85">
        <v>2.4</v>
      </c>
      <c r="B507" s="85">
        <v>45</v>
      </c>
      <c r="C507" s="85">
        <v>28.6</v>
      </c>
      <c r="D507" s="85">
        <v>45</v>
      </c>
      <c r="E507" s="85">
        <v>21.3</v>
      </c>
      <c r="F507" s="6" t="s">
        <v>1574</v>
      </c>
      <c r="G507" s="49" t="s">
        <v>1577</v>
      </c>
      <c r="H507" s="6">
        <v>130</v>
      </c>
      <c r="I507" s="3" t="s">
        <v>143</v>
      </c>
      <c r="J507" s="17"/>
    </row>
    <row r="508" spans="1:10" ht="12.75">
      <c r="A508" s="85">
        <v>2.4</v>
      </c>
      <c r="B508" s="85">
        <v>45</v>
      </c>
      <c r="C508" s="85">
        <v>28.5</v>
      </c>
      <c r="D508" s="85">
        <v>45</v>
      </c>
      <c r="E508" s="85">
        <v>21.5</v>
      </c>
      <c r="F508" s="6" t="s">
        <v>1574</v>
      </c>
      <c r="G508" s="49" t="s">
        <v>1577</v>
      </c>
      <c r="H508" s="6">
        <v>130</v>
      </c>
      <c r="I508" s="3" t="s">
        <v>144</v>
      </c>
      <c r="J508" s="17"/>
    </row>
    <row r="509" spans="1:10" ht="12.75">
      <c r="A509" s="85">
        <v>2.4</v>
      </c>
      <c r="B509" s="85">
        <v>38</v>
      </c>
      <c r="C509" s="85">
        <v>36</v>
      </c>
      <c r="D509" s="85">
        <v>38</v>
      </c>
      <c r="E509" s="85">
        <v>36</v>
      </c>
      <c r="F509" s="6" t="s">
        <v>1387</v>
      </c>
      <c r="G509" s="6"/>
      <c r="H509" s="6">
        <v>100</v>
      </c>
      <c r="I509" s="3" t="s">
        <v>1476</v>
      </c>
      <c r="J509" s="17"/>
    </row>
    <row r="510" spans="1:11" ht="12.75">
      <c r="A510" s="85">
        <f>0.1*25.4</f>
        <v>2.54</v>
      </c>
      <c r="B510" s="85">
        <v>62</v>
      </c>
      <c r="C510" s="85">
        <f>110/2-31</f>
        <v>24</v>
      </c>
      <c r="D510" s="85">
        <v>62</v>
      </c>
      <c r="E510" s="85">
        <f>110/2-23</f>
        <v>32</v>
      </c>
      <c r="F510" s="6" t="s">
        <v>1387</v>
      </c>
      <c r="G510" s="6"/>
      <c r="H510" s="6">
        <v>110</v>
      </c>
      <c r="I510" s="3" t="s">
        <v>1483</v>
      </c>
      <c r="J510" s="135">
        <v>37545</v>
      </c>
      <c r="K510" s="90" t="s">
        <v>158</v>
      </c>
    </row>
    <row r="511" spans="1:11" ht="12.75">
      <c r="A511" s="85">
        <v>2.5</v>
      </c>
      <c r="B511" s="85">
        <v>100</v>
      </c>
      <c r="C511" s="85">
        <v>30</v>
      </c>
      <c r="D511" s="85">
        <v>100</v>
      </c>
      <c r="E511" s="85">
        <v>30</v>
      </c>
      <c r="F511" s="6" t="s">
        <v>1574</v>
      </c>
      <c r="G511" s="47"/>
      <c r="H511" s="6"/>
      <c r="I511" s="3" t="s">
        <v>539</v>
      </c>
      <c r="J511" s="135">
        <v>37254</v>
      </c>
      <c r="K511" s="90" t="s">
        <v>414</v>
      </c>
    </row>
    <row r="512" spans="1:11" ht="12.75">
      <c r="A512" s="85">
        <v>2.5</v>
      </c>
      <c r="B512" s="85">
        <v>50</v>
      </c>
      <c r="C512" s="85">
        <v>23.25</v>
      </c>
      <c r="D512" s="85">
        <v>42</v>
      </c>
      <c r="E512" s="85">
        <v>32.25</v>
      </c>
      <c r="F512" s="6" t="s">
        <v>1387</v>
      </c>
      <c r="G512" s="47"/>
      <c r="H512" s="6">
        <v>100</v>
      </c>
      <c r="I512" s="3" t="s">
        <v>1487</v>
      </c>
      <c r="J512" s="135">
        <v>37328</v>
      </c>
      <c r="K512" s="90" t="s">
        <v>158</v>
      </c>
    </row>
    <row r="513" spans="1:11" ht="12.75">
      <c r="A513" s="85">
        <v>2.5</v>
      </c>
      <c r="B513" s="85">
        <v>50</v>
      </c>
      <c r="C513" s="85">
        <f>100/2-14.5-10.5-3.5/2</f>
        <v>23.25</v>
      </c>
      <c r="D513" s="85">
        <v>42</v>
      </c>
      <c r="E513" s="85">
        <v>32.25</v>
      </c>
      <c r="F513" s="6" t="s">
        <v>1387</v>
      </c>
      <c r="G513" s="47"/>
      <c r="H513" s="6">
        <v>100</v>
      </c>
      <c r="I513" s="3" t="s">
        <v>637</v>
      </c>
      <c r="J513" s="135">
        <v>37594</v>
      </c>
      <c r="K513" s="90" t="s">
        <v>158</v>
      </c>
    </row>
    <row r="514" spans="1:11" ht="12.75">
      <c r="A514" s="85">
        <v>2.3</v>
      </c>
      <c r="B514" s="85">
        <v>42</v>
      </c>
      <c r="C514" s="85">
        <v>32.75</v>
      </c>
      <c r="D514" s="85">
        <v>42</v>
      </c>
      <c r="E514" s="85">
        <v>32.75</v>
      </c>
      <c r="F514" s="6" t="s">
        <v>1387</v>
      </c>
      <c r="G514" s="6"/>
      <c r="H514" s="6">
        <v>100</v>
      </c>
      <c r="I514" s="3" t="s">
        <v>1488</v>
      </c>
      <c r="J514" s="135">
        <v>37294</v>
      </c>
      <c r="K514" s="90" t="s">
        <v>158</v>
      </c>
    </row>
    <row r="515" spans="1:11" ht="12.75">
      <c r="A515" s="85">
        <v>2.8</v>
      </c>
      <c r="B515" s="85">
        <v>39</v>
      </c>
      <c r="C515" s="85">
        <v>32.55</v>
      </c>
      <c r="D515" s="85">
        <v>39</v>
      </c>
      <c r="E515" s="85">
        <v>32.55</v>
      </c>
      <c r="F515" s="6" t="s">
        <v>1387</v>
      </c>
      <c r="G515" s="6"/>
      <c r="H515" s="6">
        <v>100</v>
      </c>
      <c r="I515" s="3" t="s">
        <v>1491</v>
      </c>
      <c r="J515" s="135">
        <v>37300</v>
      </c>
      <c r="K515" s="90" t="s">
        <v>158</v>
      </c>
    </row>
    <row r="516" spans="1:11" ht="12.75">
      <c r="A516" s="85">
        <v>2.5</v>
      </c>
      <c r="B516" s="85">
        <v>65</v>
      </c>
      <c r="C516" s="85">
        <v>34.6</v>
      </c>
      <c r="D516" s="85">
        <v>47</v>
      </c>
      <c r="E516" s="85">
        <v>17.8</v>
      </c>
      <c r="F516" s="6" t="s">
        <v>1574</v>
      </c>
      <c r="G516" s="49" t="s">
        <v>1577</v>
      </c>
      <c r="H516" s="6">
        <v>130</v>
      </c>
      <c r="I516" s="3" t="s">
        <v>1050</v>
      </c>
      <c r="J516" s="135">
        <v>37361</v>
      </c>
      <c r="K516" s="90" t="s">
        <v>158</v>
      </c>
    </row>
    <row r="517" spans="1:11" ht="12.75">
      <c r="A517" s="85">
        <v>2.5</v>
      </c>
      <c r="B517" s="85">
        <v>42</v>
      </c>
      <c r="C517" s="85">
        <f>69.5/2-3.5</f>
        <v>31.25</v>
      </c>
      <c r="D517" s="85">
        <v>42</v>
      </c>
      <c r="E517" s="85">
        <f>69.5/2-3.5</f>
        <v>31.25</v>
      </c>
      <c r="F517" s="6" t="s">
        <v>1574</v>
      </c>
      <c r="G517" s="49" t="s">
        <v>1577</v>
      </c>
      <c r="H517" s="6">
        <v>130</v>
      </c>
      <c r="I517" s="3" t="s">
        <v>1049</v>
      </c>
      <c r="J517" s="135">
        <v>37361</v>
      </c>
      <c r="K517" s="90" t="s">
        <v>158</v>
      </c>
    </row>
    <row r="518" spans="1:11" ht="12.75">
      <c r="A518" s="85">
        <v>2.3</v>
      </c>
      <c r="B518" s="85">
        <v>65</v>
      </c>
      <c r="C518" s="85">
        <v>34.575</v>
      </c>
      <c r="D518" s="85">
        <v>47</v>
      </c>
      <c r="E518" s="85">
        <v>17.75</v>
      </c>
      <c r="F518" s="6" t="s">
        <v>1574</v>
      </c>
      <c r="G518" s="49" t="s">
        <v>1577</v>
      </c>
      <c r="H518" s="6">
        <v>130</v>
      </c>
      <c r="I518" s="3" t="s">
        <v>1490</v>
      </c>
      <c r="J518" s="135">
        <v>37301</v>
      </c>
      <c r="K518" s="90" t="s">
        <v>158</v>
      </c>
    </row>
    <row r="519" spans="1:11" ht="12.75">
      <c r="A519" s="85">
        <v>2.5</v>
      </c>
      <c r="B519" s="85">
        <v>38</v>
      </c>
      <c r="C519" s="85">
        <v>34.05</v>
      </c>
      <c r="D519" s="85">
        <v>38</v>
      </c>
      <c r="E519" s="85">
        <v>34.05</v>
      </c>
      <c r="F519" s="6" t="s">
        <v>1387</v>
      </c>
      <c r="G519" s="6"/>
      <c r="H519" s="6">
        <v>100</v>
      </c>
      <c r="I519" s="3" t="s">
        <v>1489</v>
      </c>
      <c r="J519" s="135">
        <v>37301</v>
      </c>
      <c r="K519" s="90" t="s">
        <v>158</v>
      </c>
    </row>
    <row r="520" spans="1:11" ht="12.75">
      <c r="A520" s="85">
        <v>2.5</v>
      </c>
      <c r="B520" s="85">
        <v>65</v>
      </c>
      <c r="C520" s="85">
        <v>33</v>
      </c>
      <c r="D520" s="85">
        <v>47</v>
      </c>
      <c r="E520" s="85">
        <v>17.5</v>
      </c>
      <c r="F520" s="6" t="s">
        <v>1574</v>
      </c>
      <c r="G520" s="49" t="s">
        <v>1577</v>
      </c>
      <c r="H520" s="6">
        <v>130</v>
      </c>
      <c r="I520" s="3" t="s">
        <v>1493</v>
      </c>
      <c r="J520" s="135">
        <v>37283</v>
      </c>
      <c r="K520" s="90" t="s">
        <v>158</v>
      </c>
    </row>
    <row r="521" spans="1:11" ht="12.75">
      <c r="A521" s="85">
        <v>2.5</v>
      </c>
      <c r="B521" s="85">
        <v>66</v>
      </c>
      <c r="C521" s="85">
        <v>39</v>
      </c>
      <c r="D521" s="85">
        <v>48</v>
      </c>
      <c r="E521" s="85">
        <v>33</v>
      </c>
      <c r="F521" s="6" t="s">
        <v>1574</v>
      </c>
      <c r="G521" s="52">
        <v>1</v>
      </c>
      <c r="H521" s="6">
        <v>120</v>
      </c>
      <c r="I521" s="3" t="s">
        <v>1492</v>
      </c>
      <c r="J521" s="135">
        <v>37334</v>
      </c>
      <c r="K521" s="90" t="s">
        <v>158</v>
      </c>
    </row>
    <row r="522" spans="1:11" ht="12.75">
      <c r="A522" s="85">
        <v>2.6</v>
      </c>
      <c r="B522" s="85">
        <v>67</v>
      </c>
      <c r="C522" s="85">
        <v>31</v>
      </c>
      <c r="D522" s="85">
        <v>67</v>
      </c>
      <c r="E522" s="85">
        <v>25</v>
      </c>
      <c r="F522" s="6" t="s">
        <v>1574</v>
      </c>
      <c r="G522" s="6">
        <v>1</v>
      </c>
      <c r="H522" s="6">
        <v>110</v>
      </c>
      <c r="I522" s="3" t="s">
        <v>540</v>
      </c>
      <c r="J522" s="135">
        <v>37254</v>
      </c>
      <c r="K522" s="90" t="s">
        <v>414</v>
      </c>
    </row>
    <row r="523" spans="1:11" ht="12.75">
      <c r="A523" s="85">
        <v>2.8</v>
      </c>
      <c r="B523" s="85">
        <v>61</v>
      </c>
      <c r="C523" s="85">
        <v>35</v>
      </c>
      <c r="D523" s="85">
        <v>61</v>
      </c>
      <c r="E523" s="85">
        <v>20</v>
      </c>
      <c r="F523" s="6" t="s">
        <v>1574</v>
      </c>
      <c r="G523" s="6"/>
      <c r="H523" s="6">
        <v>135</v>
      </c>
      <c r="I523" s="3" t="s">
        <v>541</v>
      </c>
      <c r="J523" s="135">
        <v>37254</v>
      </c>
      <c r="K523" s="90" t="s">
        <v>414</v>
      </c>
    </row>
    <row r="524" spans="1:11" ht="12.75">
      <c r="A524" s="85">
        <v>2.8</v>
      </c>
      <c r="B524" s="85">
        <v>61</v>
      </c>
      <c r="C524" s="85">
        <v>25</v>
      </c>
      <c r="D524" s="85">
        <v>61</v>
      </c>
      <c r="E524" s="85">
        <v>30</v>
      </c>
      <c r="F524" s="6" t="s">
        <v>1387</v>
      </c>
      <c r="G524" s="6"/>
      <c r="H524" s="6">
        <v>110</v>
      </c>
      <c r="I524" s="3" t="s">
        <v>572</v>
      </c>
      <c r="J524" s="135">
        <v>37253</v>
      </c>
      <c r="K524" s="90" t="s">
        <v>414</v>
      </c>
    </row>
    <row r="525" spans="1:11" ht="12.75">
      <c r="A525" s="85">
        <v>2.8</v>
      </c>
      <c r="B525" s="85">
        <v>83</v>
      </c>
      <c r="C525" s="85">
        <v>28.5</v>
      </c>
      <c r="D525" s="85">
        <v>83</v>
      </c>
      <c r="E525" s="85">
        <v>25.5</v>
      </c>
      <c r="F525" s="6" t="s">
        <v>1574</v>
      </c>
      <c r="G525" s="6"/>
      <c r="H525" s="6">
        <v>135</v>
      </c>
      <c r="I525" s="3" t="s">
        <v>542</v>
      </c>
      <c r="J525" s="135">
        <v>37254</v>
      </c>
      <c r="K525" s="90" t="s">
        <v>414</v>
      </c>
    </row>
    <row r="526" spans="1:10" ht="12.75">
      <c r="A526" s="85">
        <v>2.4</v>
      </c>
      <c r="B526" s="85">
        <v>38.5</v>
      </c>
      <c r="C526" s="85">
        <v>28.5</v>
      </c>
      <c r="D526" s="85">
        <v>38.5</v>
      </c>
      <c r="E526" s="85">
        <v>28.5</v>
      </c>
      <c r="F526" s="6" t="s">
        <v>1387</v>
      </c>
      <c r="G526" s="6"/>
      <c r="H526" s="6">
        <v>100</v>
      </c>
      <c r="I526" s="3" t="s">
        <v>1477</v>
      </c>
      <c r="J526" s="17"/>
    </row>
    <row r="527" spans="1:10" ht="12.75">
      <c r="A527" s="85">
        <v>2.4</v>
      </c>
      <c r="B527" s="85">
        <v>60</v>
      </c>
      <c r="C527" s="85">
        <v>25.5</v>
      </c>
      <c r="D527" s="85">
        <v>60</v>
      </c>
      <c r="E527" s="85">
        <v>24.5</v>
      </c>
      <c r="F527" s="6" t="s">
        <v>1574</v>
      </c>
      <c r="G527" s="6">
        <v>1</v>
      </c>
      <c r="H527" s="6">
        <v>118</v>
      </c>
      <c r="I527" s="3" t="s">
        <v>145</v>
      </c>
      <c r="J527" s="17"/>
    </row>
    <row r="528" spans="1:10" ht="12.75">
      <c r="A528" s="85">
        <v>2.4</v>
      </c>
      <c r="B528" s="85">
        <v>89</v>
      </c>
      <c r="C528" s="85">
        <v>30.5</v>
      </c>
      <c r="D528" s="85">
        <v>89</v>
      </c>
      <c r="E528" s="85">
        <v>23.5</v>
      </c>
      <c r="F528" s="6" t="s">
        <v>1574</v>
      </c>
      <c r="G528" s="6">
        <v>1</v>
      </c>
      <c r="H528" s="6">
        <v>118</v>
      </c>
      <c r="I528" s="3" t="s">
        <v>146</v>
      </c>
      <c r="J528" s="17"/>
    </row>
    <row r="529" spans="1:10" ht="12.75">
      <c r="A529" s="85">
        <v>2.4</v>
      </c>
      <c r="B529" s="85">
        <v>58</v>
      </c>
      <c r="C529" s="85">
        <v>26.5</v>
      </c>
      <c r="D529" s="85">
        <v>58</v>
      </c>
      <c r="E529" s="85">
        <v>24</v>
      </c>
      <c r="F529" s="6" t="s">
        <v>1574</v>
      </c>
      <c r="G529" s="6">
        <v>1</v>
      </c>
      <c r="H529" s="6">
        <v>110</v>
      </c>
      <c r="I529" s="3" t="s">
        <v>147</v>
      </c>
      <c r="J529" s="17"/>
    </row>
    <row r="530" spans="1:10" ht="12.75">
      <c r="A530" s="85">
        <v>2.4</v>
      </c>
      <c r="B530" s="85">
        <v>67</v>
      </c>
      <c r="C530" s="85">
        <v>35</v>
      </c>
      <c r="D530" s="85">
        <v>67</v>
      </c>
      <c r="E530" s="85">
        <v>20</v>
      </c>
      <c r="F530" s="6" t="s">
        <v>1574</v>
      </c>
      <c r="G530" s="6">
        <v>7</v>
      </c>
      <c r="H530" s="6">
        <v>135</v>
      </c>
      <c r="I530" s="3" t="s">
        <v>284</v>
      </c>
      <c r="J530" s="17"/>
    </row>
    <row r="531" spans="1:11" ht="12.75">
      <c r="A531" s="85">
        <v>2.8</v>
      </c>
      <c r="B531" s="85">
        <v>67</v>
      </c>
      <c r="C531" s="85">
        <v>34</v>
      </c>
      <c r="D531" s="85">
        <v>67</v>
      </c>
      <c r="E531" s="85">
        <v>20</v>
      </c>
      <c r="F531" s="6" t="s">
        <v>1574</v>
      </c>
      <c r="G531" s="6">
        <v>7</v>
      </c>
      <c r="H531" s="6">
        <v>135</v>
      </c>
      <c r="I531" s="3" t="s">
        <v>545</v>
      </c>
      <c r="J531" s="135">
        <v>37254</v>
      </c>
      <c r="K531" s="90" t="s">
        <v>414</v>
      </c>
    </row>
    <row r="532" spans="1:10" ht="12.75">
      <c r="A532" s="85">
        <v>2.4</v>
      </c>
      <c r="B532" s="85">
        <v>67</v>
      </c>
      <c r="C532" s="85">
        <v>37</v>
      </c>
      <c r="D532" s="85">
        <v>67</v>
      </c>
      <c r="E532" s="85">
        <v>18</v>
      </c>
      <c r="F532" s="6" t="s">
        <v>1574</v>
      </c>
      <c r="G532" s="6">
        <v>7</v>
      </c>
      <c r="H532" s="6">
        <v>130</v>
      </c>
      <c r="I532" s="3" t="s">
        <v>285</v>
      </c>
      <c r="J532" s="17"/>
    </row>
    <row r="533" spans="1:10" ht="12.75">
      <c r="A533" s="85">
        <v>2.4</v>
      </c>
      <c r="B533" s="85">
        <v>58</v>
      </c>
      <c r="C533" s="85">
        <v>35</v>
      </c>
      <c r="D533" s="85">
        <v>58</v>
      </c>
      <c r="E533" s="85">
        <v>20</v>
      </c>
      <c r="F533" s="6" t="s">
        <v>1574</v>
      </c>
      <c r="G533" s="6">
        <v>7</v>
      </c>
      <c r="H533" s="6">
        <v>135</v>
      </c>
      <c r="I533" s="3" t="s">
        <v>286</v>
      </c>
      <c r="J533" s="17"/>
    </row>
    <row r="534" spans="1:10" ht="12.75">
      <c r="A534" s="85">
        <v>2.4</v>
      </c>
      <c r="B534" s="85">
        <v>45</v>
      </c>
      <c r="C534" s="85">
        <v>31.6</v>
      </c>
      <c r="D534" s="85">
        <v>45</v>
      </c>
      <c r="E534" s="85">
        <v>19.6</v>
      </c>
      <c r="F534" s="6" t="s">
        <v>1574</v>
      </c>
      <c r="G534" s="6">
        <v>7</v>
      </c>
      <c r="H534" s="6">
        <v>135</v>
      </c>
      <c r="I534" s="3" t="s">
        <v>287</v>
      </c>
      <c r="J534" s="17"/>
    </row>
    <row r="535" spans="1:10" ht="12.75">
      <c r="A535" s="85">
        <v>2.4</v>
      </c>
      <c r="B535" s="85">
        <v>45</v>
      </c>
      <c r="C535" s="85">
        <v>32.6</v>
      </c>
      <c r="D535" s="85">
        <v>45</v>
      </c>
      <c r="E535" s="85">
        <v>18.6</v>
      </c>
      <c r="F535" s="6" t="s">
        <v>1574</v>
      </c>
      <c r="G535" s="6">
        <v>8</v>
      </c>
      <c r="H535" s="6">
        <v>135</v>
      </c>
      <c r="I535" s="3" t="s">
        <v>288</v>
      </c>
      <c r="J535" s="17"/>
    </row>
    <row r="536" spans="1:10" ht="12.75">
      <c r="A536" s="85">
        <v>2.4</v>
      </c>
      <c r="B536" s="85">
        <v>87</v>
      </c>
      <c r="C536" s="85">
        <v>35</v>
      </c>
      <c r="D536" s="85">
        <v>87</v>
      </c>
      <c r="E536" s="85">
        <v>17</v>
      </c>
      <c r="F536" s="6" t="s">
        <v>1574</v>
      </c>
      <c r="G536" s="6">
        <v>6</v>
      </c>
      <c r="H536" s="6"/>
      <c r="I536" s="3" t="s">
        <v>289</v>
      </c>
      <c r="J536" s="17"/>
    </row>
    <row r="537" spans="1:11" ht="12.75">
      <c r="A537" s="85">
        <v>2.8</v>
      </c>
      <c r="B537" s="85">
        <v>105</v>
      </c>
      <c r="C537" s="85">
        <v>37</v>
      </c>
      <c r="D537" s="85">
        <v>131</v>
      </c>
      <c r="E537" s="85">
        <v>23</v>
      </c>
      <c r="F537" s="6" t="s">
        <v>1574</v>
      </c>
      <c r="G537" s="6"/>
      <c r="H537" s="6"/>
      <c r="I537" s="3" t="s">
        <v>543</v>
      </c>
      <c r="J537" s="135">
        <v>37254</v>
      </c>
      <c r="K537" s="90" t="s">
        <v>414</v>
      </c>
    </row>
    <row r="538" spans="1:10" ht="12.75">
      <c r="A538" s="85">
        <v>2.4</v>
      </c>
      <c r="B538" s="85">
        <v>90</v>
      </c>
      <c r="C538" s="85">
        <v>36</v>
      </c>
      <c r="D538" s="85">
        <v>90</v>
      </c>
      <c r="E538" s="85">
        <v>19</v>
      </c>
      <c r="F538" s="6" t="s">
        <v>1574</v>
      </c>
      <c r="G538" s="6">
        <v>6</v>
      </c>
      <c r="H538" s="6">
        <v>126</v>
      </c>
      <c r="I538" s="3" t="s">
        <v>290</v>
      </c>
      <c r="J538" s="17"/>
    </row>
    <row r="539" spans="1:10" ht="12.75">
      <c r="A539" s="85">
        <v>2.4</v>
      </c>
      <c r="B539" s="85">
        <v>90</v>
      </c>
      <c r="C539" s="85">
        <v>37.2</v>
      </c>
      <c r="D539" s="85">
        <v>90</v>
      </c>
      <c r="E539" s="85">
        <v>17.8</v>
      </c>
      <c r="F539" s="6" t="s">
        <v>1574</v>
      </c>
      <c r="G539" s="6">
        <v>7</v>
      </c>
      <c r="H539" s="6">
        <v>130</v>
      </c>
      <c r="I539" s="3" t="s">
        <v>291</v>
      </c>
      <c r="J539" s="17"/>
    </row>
    <row r="540" spans="1:10" ht="12.75">
      <c r="A540" s="85">
        <v>2.4</v>
      </c>
      <c r="B540" s="85">
        <v>67</v>
      </c>
      <c r="C540" s="85">
        <v>39</v>
      </c>
      <c r="D540" s="85">
        <v>54</v>
      </c>
      <c r="E540" s="85">
        <v>18</v>
      </c>
      <c r="F540" s="6" t="s">
        <v>1574</v>
      </c>
      <c r="G540" s="6">
        <v>7</v>
      </c>
      <c r="H540" s="6">
        <v>130</v>
      </c>
      <c r="I540" s="3" t="s">
        <v>293</v>
      </c>
      <c r="J540" s="17"/>
    </row>
    <row r="541" spans="1:10" ht="12.75">
      <c r="A541" s="85">
        <v>2.4</v>
      </c>
      <c r="B541" s="85">
        <v>67</v>
      </c>
      <c r="C541" s="85">
        <v>38</v>
      </c>
      <c r="D541" s="85">
        <v>54</v>
      </c>
      <c r="E541" s="85">
        <v>19</v>
      </c>
      <c r="F541" s="6" t="s">
        <v>1574</v>
      </c>
      <c r="G541" s="6"/>
      <c r="H541" s="6">
        <v>126</v>
      </c>
      <c r="I541" s="3" t="s">
        <v>294</v>
      </c>
      <c r="J541" s="17"/>
    </row>
    <row r="542" spans="1:10" ht="12.75">
      <c r="A542" s="85">
        <v>2.4</v>
      </c>
      <c r="B542" s="85">
        <v>75</v>
      </c>
      <c r="C542" s="85">
        <v>29.5</v>
      </c>
      <c r="D542" s="85">
        <v>75</v>
      </c>
      <c r="E542" s="85">
        <v>28.5</v>
      </c>
      <c r="F542" s="6" t="s">
        <v>1574</v>
      </c>
      <c r="G542" s="6"/>
      <c r="H542" s="6">
        <v>122</v>
      </c>
      <c r="I542" s="3" t="s">
        <v>295</v>
      </c>
      <c r="J542" s="17"/>
    </row>
    <row r="543" spans="1:10" ht="12.75">
      <c r="A543" s="85">
        <v>2.4</v>
      </c>
      <c r="B543" s="85">
        <v>90</v>
      </c>
      <c r="C543" s="85">
        <v>29.5</v>
      </c>
      <c r="D543" s="85">
        <v>90</v>
      </c>
      <c r="E543" s="85">
        <v>30.5</v>
      </c>
      <c r="F543" s="6" t="s">
        <v>1574</v>
      </c>
      <c r="G543" s="6"/>
      <c r="H543" s="6">
        <v>126</v>
      </c>
      <c r="I543" s="3" t="s">
        <v>296</v>
      </c>
      <c r="J543" s="17"/>
    </row>
    <row r="544" spans="1:10" ht="12.75">
      <c r="A544" s="85">
        <v>2.4</v>
      </c>
      <c r="B544" s="85">
        <v>75</v>
      </c>
      <c r="C544" s="85">
        <v>29.6</v>
      </c>
      <c r="D544" s="85">
        <v>75</v>
      </c>
      <c r="E544" s="85">
        <v>29</v>
      </c>
      <c r="F544" s="6" t="s">
        <v>1574</v>
      </c>
      <c r="G544" s="6"/>
      <c r="H544" s="6">
        <v>122</v>
      </c>
      <c r="I544" s="3" t="s">
        <v>297</v>
      </c>
      <c r="J544" s="17"/>
    </row>
    <row r="545" spans="1:11" ht="12.75">
      <c r="A545" s="85">
        <v>2.8</v>
      </c>
      <c r="B545" s="85">
        <v>62</v>
      </c>
      <c r="C545" s="85">
        <v>35</v>
      </c>
      <c r="D545" s="85">
        <v>62</v>
      </c>
      <c r="E545" s="85">
        <v>19</v>
      </c>
      <c r="F545" s="6" t="s">
        <v>1574</v>
      </c>
      <c r="G545" s="6"/>
      <c r="H545" s="6">
        <v>135</v>
      </c>
      <c r="I545" s="3" t="s">
        <v>546</v>
      </c>
      <c r="J545" s="135">
        <v>37254</v>
      </c>
      <c r="K545" s="90" t="s">
        <v>414</v>
      </c>
    </row>
    <row r="546" spans="1:10" ht="12.75">
      <c r="A546" s="85">
        <v>2.8</v>
      </c>
      <c r="B546" s="85">
        <v>62</v>
      </c>
      <c r="C546" s="85">
        <v>20</v>
      </c>
      <c r="D546" s="85">
        <v>62</v>
      </c>
      <c r="E546" s="85">
        <v>30</v>
      </c>
      <c r="F546" s="6" t="s">
        <v>1387</v>
      </c>
      <c r="G546" s="6"/>
      <c r="H546" s="6">
        <v>100</v>
      </c>
      <c r="I546" s="3" t="s">
        <v>1478</v>
      </c>
      <c r="J546" s="17"/>
    </row>
    <row r="547" spans="1:10" ht="12.75">
      <c r="A547" s="85">
        <v>2.4</v>
      </c>
      <c r="B547" s="85">
        <v>39</v>
      </c>
      <c r="C547" s="85">
        <v>29.6</v>
      </c>
      <c r="D547" s="85">
        <v>39</v>
      </c>
      <c r="E547" s="85">
        <v>29.6</v>
      </c>
      <c r="F547" s="6" t="s">
        <v>1387</v>
      </c>
      <c r="G547" s="6"/>
      <c r="H547" s="6">
        <v>100</v>
      </c>
      <c r="I547" s="3" t="s">
        <v>1479</v>
      </c>
      <c r="J547" s="17"/>
    </row>
    <row r="548" spans="1:10" ht="12.75">
      <c r="A548" s="85">
        <v>2.4</v>
      </c>
      <c r="B548" s="85">
        <v>75</v>
      </c>
      <c r="C548" s="85">
        <v>35.5</v>
      </c>
      <c r="D548" s="85">
        <v>75</v>
      </c>
      <c r="E548" s="85">
        <v>33</v>
      </c>
      <c r="F548" s="6" t="s">
        <v>1574</v>
      </c>
      <c r="G548" s="6"/>
      <c r="H548" s="6">
        <v>130</v>
      </c>
      <c r="I548" s="3" t="s">
        <v>298</v>
      </c>
      <c r="J548" s="17"/>
    </row>
    <row r="549" spans="1:10" ht="12.75">
      <c r="A549" s="85">
        <v>2.4</v>
      </c>
      <c r="B549" s="85">
        <v>75</v>
      </c>
      <c r="C549" s="85">
        <v>35.7</v>
      </c>
      <c r="D549" s="85">
        <v>75</v>
      </c>
      <c r="E549" s="85">
        <v>34.8</v>
      </c>
      <c r="F549" s="6" t="s">
        <v>1574</v>
      </c>
      <c r="G549" s="6"/>
      <c r="H549" s="6">
        <v>135</v>
      </c>
      <c r="I549" s="3" t="s">
        <v>299</v>
      </c>
      <c r="J549" s="17"/>
    </row>
    <row r="550" spans="1:10" ht="12.75">
      <c r="A550" s="85">
        <v>2.4</v>
      </c>
      <c r="B550" s="85">
        <v>75</v>
      </c>
      <c r="C550" s="85">
        <v>34.5</v>
      </c>
      <c r="D550" s="85">
        <v>75</v>
      </c>
      <c r="E550" s="85">
        <v>34</v>
      </c>
      <c r="F550" s="6" t="s">
        <v>1574</v>
      </c>
      <c r="G550" s="6"/>
      <c r="H550" s="6">
        <v>130</v>
      </c>
      <c r="I550" s="3" t="s">
        <v>300</v>
      </c>
      <c r="J550" s="17"/>
    </row>
    <row r="551" spans="1:10" ht="12.75">
      <c r="A551" s="85">
        <v>2.4</v>
      </c>
      <c r="B551" s="85">
        <v>45</v>
      </c>
      <c r="C551" s="85">
        <v>34.1</v>
      </c>
      <c r="D551" s="85">
        <v>45</v>
      </c>
      <c r="E551" s="85">
        <v>17.1</v>
      </c>
      <c r="F551" s="6" t="s">
        <v>1574</v>
      </c>
      <c r="G551" s="6"/>
      <c r="H551" s="6">
        <v>126</v>
      </c>
      <c r="I551" s="3" t="s">
        <v>301</v>
      </c>
      <c r="J551" s="17"/>
    </row>
    <row r="552" spans="1:10" ht="12.75">
      <c r="A552" s="85">
        <v>2.4</v>
      </c>
      <c r="B552" s="85">
        <v>45</v>
      </c>
      <c r="C552" s="85">
        <v>34.6</v>
      </c>
      <c r="D552" s="85">
        <v>45</v>
      </c>
      <c r="E552" s="85">
        <v>16.6</v>
      </c>
      <c r="F552" s="6" t="s">
        <v>1574</v>
      </c>
      <c r="G552" s="6">
        <v>8</v>
      </c>
      <c r="H552" s="6">
        <v>130</v>
      </c>
      <c r="I552" s="3" t="s">
        <v>301</v>
      </c>
      <c r="J552" s="17"/>
    </row>
    <row r="553" spans="1:10" ht="12.75">
      <c r="A553" s="85">
        <v>2.4</v>
      </c>
      <c r="B553" s="85">
        <v>39</v>
      </c>
      <c r="C553" s="85">
        <v>34</v>
      </c>
      <c r="D553" s="85">
        <v>39</v>
      </c>
      <c r="E553" s="85">
        <v>34</v>
      </c>
      <c r="F553" s="6" t="s">
        <v>1387</v>
      </c>
      <c r="G553" s="6"/>
      <c r="H553" s="6">
        <v>100</v>
      </c>
      <c r="I553" s="3" t="s">
        <v>1480</v>
      </c>
      <c r="J553" s="17"/>
    </row>
    <row r="554" spans="1:10" ht="12.75">
      <c r="A554" s="85">
        <v>2.4</v>
      </c>
      <c r="B554" s="85">
        <v>87</v>
      </c>
      <c r="C554" s="85">
        <v>26</v>
      </c>
      <c r="D554" s="85">
        <v>87</v>
      </c>
      <c r="E554" s="85">
        <v>26</v>
      </c>
      <c r="F554" s="6" t="s">
        <v>1387</v>
      </c>
      <c r="G554" s="6"/>
      <c r="H554" s="6">
        <v>100</v>
      </c>
      <c r="I554" s="3" t="s">
        <v>1481</v>
      </c>
      <c r="J554" s="17"/>
    </row>
    <row r="555" spans="1:10" ht="12.75">
      <c r="A555" s="85">
        <v>2.4</v>
      </c>
      <c r="B555" s="85">
        <v>90</v>
      </c>
      <c r="C555" s="85">
        <v>30</v>
      </c>
      <c r="D555" s="85">
        <v>90</v>
      </c>
      <c r="E555" s="85">
        <v>26</v>
      </c>
      <c r="F555" s="6" t="s">
        <v>1387</v>
      </c>
      <c r="G555" s="6"/>
      <c r="H555" s="6">
        <v>100</v>
      </c>
      <c r="I555" s="3" t="s">
        <v>1482</v>
      </c>
      <c r="J555" s="17"/>
    </row>
    <row r="556" spans="1:10" ht="12.75">
      <c r="A556" s="85">
        <v>2.4</v>
      </c>
      <c r="B556" s="85">
        <v>90</v>
      </c>
      <c r="C556" s="85">
        <v>37</v>
      </c>
      <c r="D556" s="85">
        <v>90</v>
      </c>
      <c r="E556" s="85">
        <v>19</v>
      </c>
      <c r="F556" s="6" t="s">
        <v>1574</v>
      </c>
      <c r="G556" s="6">
        <v>7</v>
      </c>
      <c r="H556" s="6"/>
      <c r="I556" s="3" t="s">
        <v>1482</v>
      </c>
      <c r="J556" s="17"/>
    </row>
    <row r="557" spans="1:10" ht="12.75">
      <c r="A557" s="85">
        <v>2.4</v>
      </c>
      <c r="B557" s="85">
        <v>38</v>
      </c>
      <c r="C557" s="85">
        <v>33</v>
      </c>
      <c r="D557" s="85">
        <v>38</v>
      </c>
      <c r="E557" s="85">
        <v>33</v>
      </c>
      <c r="F557" s="6" t="s">
        <v>1387</v>
      </c>
      <c r="G557" s="6"/>
      <c r="H557" s="6">
        <v>100</v>
      </c>
      <c r="I557" s="3" t="s">
        <v>1486</v>
      </c>
      <c r="J557" s="17"/>
    </row>
    <row r="558" spans="1:10" ht="12.75">
      <c r="A558" s="85">
        <v>2.4</v>
      </c>
      <c r="B558" s="85">
        <v>44.5</v>
      </c>
      <c r="C558" s="85">
        <v>35.5</v>
      </c>
      <c r="D558" s="85">
        <v>44.5</v>
      </c>
      <c r="E558" s="85">
        <v>20</v>
      </c>
      <c r="F558" s="6" t="s">
        <v>1574</v>
      </c>
      <c r="G558" s="6"/>
      <c r="H558" s="6">
        <v>126</v>
      </c>
      <c r="I558" s="3" t="s">
        <v>1486</v>
      </c>
      <c r="J558" s="17"/>
    </row>
    <row r="559" spans="1:10" ht="12.75">
      <c r="A559" s="85">
        <v>2.4</v>
      </c>
      <c r="B559" s="85">
        <v>44.5</v>
      </c>
      <c r="C559" s="85">
        <v>33.5</v>
      </c>
      <c r="D559" s="85">
        <v>44.5</v>
      </c>
      <c r="E559" s="85">
        <v>22</v>
      </c>
      <c r="F559" s="6" t="s">
        <v>1574</v>
      </c>
      <c r="G559" s="6"/>
      <c r="H559" s="6">
        <v>130</v>
      </c>
      <c r="I559" s="3" t="s">
        <v>1486</v>
      </c>
      <c r="J559" s="17"/>
    </row>
    <row r="560" spans="1:10" ht="12.75">
      <c r="A560" s="85">
        <v>2.4</v>
      </c>
      <c r="B560" s="85">
        <v>43</v>
      </c>
      <c r="C560" s="85">
        <v>33</v>
      </c>
      <c r="D560" s="85">
        <v>43</v>
      </c>
      <c r="E560" s="85">
        <v>33</v>
      </c>
      <c r="F560" s="6" t="s">
        <v>1387</v>
      </c>
      <c r="G560" s="6"/>
      <c r="H560" s="6">
        <v>100</v>
      </c>
      <c r="I560" s="3" t="s">
        <v>1494</v>
      </c>
      <c r="J560" s="17"/>
    </row>
    <row r="561" spans="1:10" ht="12.75">
      <c r="A561" s="85">
        <v>2.4</v>
      </c>
      <c r="B561" s="85">
        <v>46</v>
      </c>
      <c r="C561" s="85">
        <v>28</v>
      </c>
      <c r="D561" s="85">
        <v>46</v>
      </c>
      <c r="E561" s="85">
        <v>22</v>
      </c>
      <c r="F561" s="6" t="s">
        <v>1574</v>
      </c>
      <c r="G561" s="6">
        <v>5</v>
      </c>
      <c r="H561" s="6" t="s">
        <v>302</v>
      </c>
      <c r="I561" s="3" t="s">
        <v>1494</v>
      </c>
      <c r="J561" s="17"/>
    </row>
    <row r="562" spans="1:10" ht="12.75">
      <c r="A562" s="85">
        <v>2.4</v>
      </c>
      <c r="B562" s="85">
        <v>46</v>
      </c>
      <c r="C562" s="85">
        <v>33</v>
      </c>
      <c r="D562" s="85">
        <v>46</v>
      </c>
      <c r="E562" s="85">
        <v>18</v>
      </c>
      <c r="F562" s="6" t="s">
        <v>1574</v>
      </c>
      <c r="G562" s="6" t="s">
        <v>1575</v>
      </c>
      <c r="H562" s="6" t="s">
        <v>302</v>
      </c>
      <c r="I562" s="3" t="s">
        <v>1494</v>
      </c>
      <c r="J562" s="17"/>
    </row>
    <row r="563" spans="1:10" ht="12.75">
      <c r="A563" s="85">
        <v>2.8</v>
      </c>
      <c r="B563" s="85">
        <v>62.1</v>
      </c>
      <c r="C563" s="85">
        <v>37.7</v>
      </c>
      <c r="D563" s="85">
        <v>62.1</v>
      </c>
      <c r="E563" s="85">
        <v>37.7</v>
      </c>
      <c r="F563" s="6" t="s">
        <v>1571</v>
      </c>
      <c r="G563" s="6"/>
      <c r="H563" s="6" t="s">
        <v>1571</v>
      </c>
      <c r="I563" s="3" t="s">
        <v>1572</v>
      </c>
      <c r="J563" s="17"/>
    </row>
    <row r="564" spans="1:11" ht="12.75">
      <c r="A564" s="85">
        <v>2.4</v>
      </c>
      <c r="B564" s="85">
        <v>38</v>
      </c>
      <c r="C564" s="85">
        <f>74/2+(3.3/2)</f>
        <v>38.65</v>
      </c>
      <c r="D564" s="85">
        <v>38</v>
      </c>
      <c r="E564" s="85">
        <f>74/2+(3.3/2)</f>
        <v>38.65</v>
      </c>
      <c r="F564" s="6" t="s">
        <v>1387</v>
      </c>
      <c r="G564" s="6"/>
      <c r="H564" s="6">
        <v>100</v>
      </c>
      <c r="I564" s="3" t="s">
        <v>13</v>
      </c>
      <c r="J564" s="135">
        <v>37936</v>
      </c>
      <c r="K564" s="90" t="s">
        <v>154</v>
      </c>
    </row>
    <row r="565" spans="1:11" ht="12.75">
      <c r="A565" s="85">
        <v>2.6</v>
      </c>
      <c r="B565" s="85">
        <v>45</v>
      </c>
      <c r="C565" s="85">
        <v>32.5</v>
      </c>
      <c r="D565" s="85">
        <v>45</v>
      </c>
      <c r="E565" s="85">
        <v>20.5</v>
      </c>
      <c r="F565" s="6" t="s">
        <v>1574</v>
      </c>
      <c r="G565" s="6" t="s">
        <v>1577</v>
      </c>
      <c r="H565" s="6">
        <v>130</v>
      </c>
      <c r="I565" s="3" t="s">
        <v>1111</v>
      </c>
      <c r="J565" s="135">
        <v>37320</v>
      </c>
      <c r="K565" s="90" t="s">
        <v>1112</v>
      </c>
    </row>
    <row r="566" spans="1:10" ht="12.75">
      <c r="A566" s="85">
        <v>2.6</v>
      </c>
      <c r="B566" s="85">
        <v>45</v>
      </c>
      <c r="C566" s="85">
        <v>37.3</v>
      </c>
      <c r="D566" s="85">
        <v>45</v>
      </c>
      <c r="E566" s="85">
        <v>20.7</v>
      </c>
      <c r="F566" s="6" t="s">
        <v>1574</v>
      </c>
      <c r="G566" s="6">
        <v>7</v>
      </c>
      <c r="H566" s="6">
        <v>126</v>
      </c>
      <c r="I566" s="3" t="s">
        <v>303</v>
      </c>
      <c r="J566" s="17"/>
    </row>
    <row r="567" spans="1:10" ht="12.75">
      <c r="A567" s="85">
        <v>2.6</v>
      </c>
      <c r="B567" s="85">
        <v>38</v>
      </c>
      <c r="C567" s="85">
        <v>36.3</v>
      </c>
      <c r="D567" s="85">
        <v>38</v>
      </c>
      <c r="E567" s="85">
        <v>36.3</v>
      </c>
      <c r="F567" s="6" t="s">
        <v>1387</v>
      </c>
      <c r="G567" s="6"/>
      <c r="H567" s="6">
        <v>100</v>
      </c>
      <c r="I567" s="3" t="s">
        <v>1495</v>
      </c>
      <c r="J567" s="17"/>
    </row>
    <row r="568" spans="1:10" ht="12.75">
      <c r="A568" s="85">
        <v>2.6</v>
      </c>
      <c r="B568" s="85">
        <v>45</v>
      </c>
      <c r="C568" s="85">
        <v>38.2</v>
      </c>
      <c r="D568" s="85">
        <v>45</v>
      </c>
      <c r="E568" s="85">
        <v>20.2</v>
      </c>
      <c r="F568" s="6" t="s">
        <v>1574</v>
      </c>
      <c r="G568" s="6">
        <v>7</v>
      </c>
      <c r="H568" s="6">
        <v>126</v>
      </c>
      <c r="I568" s="3" t="s">
        <v>304</v>
      </c>
      <c r="J568" s="17"/>
    </row>
    <row r="569" spans="1:10" ht="12.75">
      <c r="A569" s="85">
        <v>2.6</v>
      </c>
      <c r="B569" s="85">
        <v>45</v>
      </c>
      <c r="C569" s="85">
        <v>36.2</v>
      </c>
      <c r="D569" s="85">
        <v>45</v>
      </c>
      <c r="E569" s="85">
        <v>22.2</v>
      </c>
      <c r="F569" s="6" t="s">
        <v>1574</v>
      </c>
      <c r="G569" s="6">
        <v>7</v>
      </c>
      <c r="H569" s="6">
        <v>130</v>
      </c>
      <c r="I569" s="3" t="s">
        <v>304</v>
      </c>
      <c r="J569" s="17"/>
    </row>
    <row r="570" spans="1:10" ht="12.75">
      <c r="A570" s="85">
        <v>2.6</v>
      </c>
      <c r="B570" s="85">
        <v>45</v>
      </c>
      <c r="C570" s="85">
        <v>36.2</v>
      </c>
      <c r="D570" s="85">
        <v>45</v>
      </c>
      <c r="E570" s="85">
        <v>22.2</v>
      </c>
      <c r="F570" s="6" t="s">
        <v>1574</v>
      </c>
      <c r="G570" s="6">
        <v>7</v>
      </c>
      <c r="H570" s="6">
        <v>130</v>
      </c>
      <c r="I570" s="3" t="s">
        <v>305</v>
      </c>
      <c r="J570" s="17"/>
    </row>
    <row r="571" spans="1:10" ht="12.75">
      <c r="A571" s="85">
        <v>2.6</v>
      </c>
      <c r="B571" s="85">
        <v>38</v>
      </c>
      <c r="C571" s="85">
        <v>36.3</v>
      </c>
      <c r="D571" s="85">
        <v>38</v>
      </c>
      <c r="E571" s="85">
        <v>36.3</v>
      </c>
      <c r="F571" s="6" t="s">
        <v>1387</v>
      </c>
      <c r="G571" s="6"/>
      <c r="H571" s="6">
        <v>100</v>
      </c>
      <c r="I571" s="3" t="s">
        <v>1496</v>
      </c>
      <c r="J571" s="17"/>
    </row>
    <row r="572" spans="1:11" ht="12.75">
      <c r="A572" s="85">
        <v>2.6</v>
      </c>
      <c r="B572" s="85">
        <v>45</v>
      </c>
      <c r="C572" s="85">
        <v>35</v>
      </c>
      <c r="D572" s="85">
        <v>45</v>
      </c>
      <c r="E572" s="85">
        <v>19</v>
      </c>
      <c r="F572" s="6" t="s">
        <v>1574</v>
      </c>
      <c r="G572" s="6">
        <v>6</v>
      </c>
      <c r="H572" s="6">
        <v>126</v>
      </c>
      <c r="I572" s="3" t="s">
        <v>1131</v>
      </c>
      <c r="J572" s="135">
        <v>37593</v>
      </c>
      <c r="K572" s="90" t="s">
        <v>1129</v>
      </c>
    </row>
    <row r="573" spans="1:10" ht="12.75">
      <c r="A573" s="85">
        <v>2.6</v>
      </c>
      <c r="B573" s="85">
        <v>45</v>
      </c>
      <c r="C573" s="85">
        <v>37.3</v>
      </c>
      <c r="D573" s="85">
        <v>45</v>
      </c>
      <c r="E573" s="85">
        <v>20.7</v>
      </c>
      <c r="F573" s="6" t="s">
        <v>1574</v>
      </c>
      <c r="G573" s="6">
        <v>7</v>
      </c>
      <c r="H573" s="6">
        <v>126</v>
      </c>
      <c r="I573" s="4" t="s">
        <v>306</v>
      </c>
      <c r="J573" s="17"/>
    </row>
    <row r="574" spans="1:10" ht="12.75">
      <c r="A574" s="85">
        <v>2.6</v>
      </c>
      <c r="B574" s="85">
        <v>45</v>
      </c>
      <c r="C574" s="85">
        <v>37.1</v>
      </c>
      <c r="D574" s="85">
        <v>45</v>
      </c>
      <c r="E574" s="85">
        <v>20.9</v>
      </c>
      <c r="F574" s="6" t="s">
        <v>1574</v>
      </c>
      <c r="G574" s="6">
        <v>8</v>
      </c>
      <c r="H574" s="6">
        <v>130</v>
      </c>
      <c r="I574" s="4" t="s">
        <v>307</v>
      </c>
      <c r="J574" s="17"/>
    </row>
    <row r="575" spans="1:10" ht="12.75">
      <c r="A575" s="85">
        <v>2.6</v>
      </c>
      <c r="B575" s="85">
        <v>38</v>
      </c>
      <c r="C575" s="85">
        <v>36.3</v>
      </c>
      <c r="D575" s="85">
        <v>38</v>
      </c>
      <c r="E575" s="85">
        <v>36.3</v>
      </c>
      <c r="F575" s="6" t="s">
        <v>1387</v>
      </c>
      <c r="G575" s="6"/>
      <c r="H575" s="6">
        <v>100</v>
      </c>
      <c r="I575" s="3" t="s">
        <v>366</v>
      </c>
      <c r="J575" s="17"/>
    </row>
    <row r="576" spans="1:10" ht="12.75">
      <c r="A576" s="85">
        <v>2.6</v>
      </c>
      <c r="B576" s="85">
        <v>45</v>
      </c>
      <c r="C576" s="85">
        <v>35.3</v>
      </c>
      <c r="D576" s="85">
        <v>45</v>
      </c>
      <c r="E576" s="85">
        <v>22.7</v>
      </c>
      <c r="F576" s="6" t="s">
        <v>1574</v>
      </c>
      <c r="G576" s="6">
        <v>7</v>
      </c>
      <c r="H576" s="6">
        <v>130</v>
      </c>
      <c r="I576" s="3" t="s">
        <v>308</v>
      </c>
      <c r="J576" s="17"/>
    </row>
    <row r="577" spans="1:10" ht="12.75">
      <c r="A577" s="85">
        <v>2.6</v>
      </c>
      <c r="B577" s="85">
        <v>38</v>
      </c>
      <c r="C577" s="85">
        <v>36.3</v>
      </c>
      <c r="D577" s="85">
        <v>38</v>
      </c>
      <c r="E577" s="85">
        <v>36.3</v>
      </c>
      <c r="F577" s="6" t="s">
        <v>1387</v>
      </c>
      <c r="G577" s="6"/>
      <c r="H577" s="6">
        <v>100</v>
      </c>
      <c r="I577" s="3" t="s">
        <v>1497</v>
      </c>
      <c r="J577" s="17"/>
    </row>
    <row r="578" spans="1:10" ht="12.75">
      <c r="A578" s="85">
        <v>2.6</v>
      </c>
      <c r="B578" s="85">
        <v>45</v>
      </c>
      <c r="C578" s="85">
        <v>38.1</v>
      </c>
      <c r="D578" s="85">
        <v>45</v>
      </c>
      <c r="E578" s="85">
        <v>22.5</v>
      </c>
      <c r="F578" s="6" t="s">
        <v>1574</v>
      </c>
      <c r="G578" s="6">
        <v>7</v>
      </c>
      <c r="H578" s="6">
        <v>130</v>
      </c>
      <c r="I578" s="3" t="s">
        <v>309</v>
      </c>
      <c r="J578" s="17"/>
    </row>
    <row r="579" spans="1:10" ht="12.75">
      <c r="A579" s="85">
        <v>2.6</v>
      </c>
      <c r="B579" s="85">
        <v>45</v>
      </c>
      <c r="C579" s="85">
        <v>35.6</v>
      </c>
      <c r="D579" s="85">
        <v>45</v>
      </c>
      <c r="E579" s="85">
        <v>25</v>
      </c>
      <c r="F579" s="6" t="s">
        <v>1574</v>
      </c>
      <c r="G579" s="6">
        <v>7</v>
      </c>
      <c r="H579" s="6">
        <v>135</v>
      </c>
      <c r="I579" s="3" t="s">
        <v>309</v>
      </c>
      <c r="J579" s="17"/>
    </row>
    <row r="580" spans="1:10" ht="12.75">
      <c r="A580" s="85">
        <v>2.6</v>
      </c>
      <c r="B580" s="85">
        <v>38</v>
      </c>
      <c r="C580" s="85">
        <v>35.8</v>
      </c>
      <c r="D580" s="85">
        <v>38</v>
      </c>
      <c r="E580" s="85">
        <v>35.8</v>
      </c>
      <c r="F580" s="6" t="s">
        <v>1387</v>
      </c>
      <c r="G580" s="6"/>
      <c r="H580" s="6">
        <v>100</v>
      </c>
      <c r="I580" s="3" t="s">
        <v>1498</v>
      </c>
      <c r="J580" s="17"/>
    </row>
    <row r="581" spans="1:11" ht="12.75">
      <c r="A581" s="85">
        <v>2.6</v>
      </c>
      <c r="B581" s="85">
        <v>45</v>
      </c>
      <c r="C581" s="85">
        <v>34.5</v>
      </c>
      <c r="D581" s="85">
        <v>45</v>
      </c>
      <c r="E581" s="85">
        <v>21.5</v>
      </c>
      <c r="F581" s="6" t="s">
        <v>1574</v>
      </c>
      <c r="G581" s="6">
        <v>8</v>
      </c>
      <c r="H581" s="6">
        <v>135</v>
      </c>
      <c r="I581" s="3" t="s">
        <v>706</v>
      </c>
      <c r="J581" s="135">
        <v>37315</v>
      </c>
      <c r="K581" s="90" t="s">
        <v>586</v>
      </c>
    </row>
    <row r="582" spans="1:10" ht="12.75">
      <c r="A582" s="85">
        <v>2.6</v>
      </c>
      <c r="B582" s="85">
        <v>45</v>
      </c>
      <c r="C582" s="85">
        <v>38.1</v>
      </c>
      <c r="D582" s="85">
        <v>45</v>
      </c>
      <c r="E582" s="85">
        <v>22.5</v>
      </c>
      <c r="F582" s="6" t="s">
        <v>1574</v>
      </c>
      <c r="G582" s="6">
        <v>7</v>
      </c>
      <c r="H582" s="6">
        <v>130</v>
      </c>
      <c r="I582" s="3" t="s">
        <v>310</v>
      </c>
      <c r="J582" s="17"/>
    </row>
    <row r="583" spans="1:10" ht="12.75">
      <c r="A583" s="85">
        <v>2.6</v>
      </c>
      <c r="B583" s="85">
        <v>45</v>
      </c>
      <c r="C583" s="85">
        <v>35.6</v>
      </c>
      <c r="D583" s="85">
        <v>45</v>
      </c>
      <c r="E583" s="85">
        <v>25</v>
      </c>
      <c r="F583" s="6" t="s">
        <v>1574</v>
      </c>
      <c r="G583" s="6">
        <v>7</v>
      </c>
      <c r="H583" s="6">
        <v>135</v>
      </c>
      <c r="I583" s="3" t="s">
        <v>310</v>
      </c>
      <c r="J583" s="17"/>
    </row>
    <row r="584" spans="1:10" ht="12.75">
      <c r="A584" s="85">
        <v>2.6</v>
      </c>
      <c r="B584" s="85">
        <v>45</v>
      </c>
      <c r="C584" s="85">
        <v>37.6</v>
      </c>
      <c r="D584" s="85">
        <v>45</v>
      </c>
      <c r="E584" s="85">
        <v>23</v>
      </c>
      <c r="F584" s="6" t="s">
        <v>1574</v>
      </c>
      <c r="G584" s="6">
        <v>6</v>
      </c>
      <c r="H584" s="6">
        <v>126</v>
      </c>
      <c r="I584" s="3" t="s">
        <v>311</v>
      </c>
      <c r="J584" s="17"/>
    </row>
    <row r="585" spans="1:10" ht="12.75">
      <c r="A585" s="85">
        <v>2.6</v>
      </c>
      <c r="B585" s="85">
        <v>45</v>
      </c>
      <c r="C585" s="85">
        <v>38.1</v>
      </c>
      <c r="D585" s="85">
        <v>45</v>
      </c>
      <c r="E585" s="85">
        <v>22.5</v>
      </c>
      <c r="F585" s="6" t="s">
        <v>1574</v>
      </c>
      <c r="G585" s="6">
        <v>6</v>
      </c>
      <c r="H585" s="6">
        <v>130</v>
      </c>
      <c r="I585" s="3" t="s">
        <v>311</v>
      </c>
      <c r="J585" s="17"/>
    </row>
    <row r="586" spans="1:10" ht="12.75">
      <c r="A586" s="85">
        <v>2.6</v>
      </c>
      <c r="B586" s="85">
        <v>45</v>
      </c>
      <c r="C586" s="85">
        <v>35.6</v>
      </c>
      <c r="D586" s="85">
        <v>45</v>
      </c>
      <c r="E586" s="85">
        <v>25</v>
      </c>
      <c r="F586" s="6" t="s">
        <v>1574</v>
      </c>
      <c r="G586" s="6">
        <v>7</v>
      </c>
      <c r="H586" s="6">
        <v>130</v>
      </c>
      <c r="I586" s="3" t="s">
        <v>311</v>
      </c>
      <c r="J586" s="17"/>
    </row>
    <row r="587" spans="1:10" ht="12.75">
      <c r="A587" s="85">
        <v>2.6</v>
      </c>
      <c r="B587" s="85">
        <v>45</v>
      </c>
      <c r="C587" s="85">
        <v>35.6</v>
      </c>
      <c r="D587" s="85">
        <v>45</v>
      </c>
      <c r="E587" s="85">
        <v>25</v>
      </c>
      <c r="F587" s="6" t="s">
        <v>1574</v>
      </c>
      <c r="G587" s="6">
        <v>7</v>
      </c>
      <c r="H587" s="6">
        <v>135</v>
      </c>
      <c r="I587" s="3" t="s">
        <v>311</v>
      </c>
      <c r="J587" s="17"/>
    </row>
    <row r="588" spans="1:10" ht="12.75">
      <c r="A588" s="85">
        <v>2.6</v>
      </c>
      <c r="B588" s="85">
        <v>38</v>
      </c>
      <c r="C588" s="85">
        <v>35.8</v>
      </c>
      <c r="D588" s="85">
        <v>38</v>
      </c>
      <c r="E588" s="85">
        <v>35.8</v>
      </c>
      <c r="F588" s="6" t="s">
        <v>1387</v>
      </c>
      <c r="G588" s="6"/>
      <c r="H588" s="6" t="s">
        <v>1499</v>
      </c>
      <c r="I588" s="3" t="s">
        <v>1500</v>
      </c>
      <c r="J588" s="17"/>
    </row>
    <row r="589" spans="1:10" ht="12.75">
      <c r="A589" s="85">
        <v>2.6</v>
      </c>
      <c r="B589" s="85">
        <v>45</v>
      </c>
      <c r="C589" s="85">
        <v>38.1</v>
      </c>
      <c r="D589" s="85">
        <v>45</v>
      </c>
      <c r="E589" s="85">
        <v>22.5</v>
      </c>
      <c r="F589" s="6" t="s">
        <v>1574</v>
      </c>
      <c r="G589" s="6" t="s">
        <v>1575</v>
      </c>
      <c r="H589" s="6">
        <v>130</v>
      </c>
      <c r="I589" s="4" t="s">
        <v>312</v>
      </c>
      <c r="J589" s="17"/>
    </row>
    <row r="590" spans="1:10" ht="12.75">
      <c r="A590" s="85">
        <v>2.6</v>
      </c>
      <c r="B590" s="85">
        <v>42</v>
      </c>
      <c r="C590" s="85">
        <v>34.5</v>
      </c>
      <c r="D590" s="85">
        <v>42</v>
      </c>
      <c r="E590" s="85">
        <v>34.5</v>
      </c>
      <c r="F590" s="6" t="s">
        <v>1387</v>
      </c>
      <c r="G590" s="6"/>
      <c r="H590" s="6">
        <v>100</v>
      </c>
      <c r="I590" s="7" t="s">
        <v>1501</v>
      </c>
      <c r="J590" s="17"/>
    </row>
    <row r="591" spans="1:11" ht="12.75">
      <c r="A591" s="85">
        <v>2.6</v>
      </c>
      <c r="B591" s="85">
        <v>38</v>
      </c>
      <c r="C591" s="85">
        <v>35.8</v>
      </c>
      <c r="D591" s="85">
        <v>38</v>
      </c>
      <c r="E591" s="85">
        <v>35.8</v>
      </c>
      <c r="F591" s="6" t="s">
        <v>1387</v>
      </c>
      <c r="G591" s="6"/>
      <c r="H591" s="6">
        <v>100</v>
      </c>
      <c r="I591" s="7" t="s">
        <v>1274</v>
      </c>
      <c r="J591" s="136">
        <v>39053</v>
      </c>
      <c r="K591" s="90" t="s">
        <v>1275</v>
      </c>
    </row>
    <row r="592" spans="1:10" ht="12.75">
      <c r="A592" s="85">
        <v>2.6</v>
      </c>
      <c r="B592" s="85">
        <v>45</v>
      </c>
      <c r="C592" s="85">
        <v>37.9</v>
      </c>
      <c r="D592" s="85">
        <v>45</v>
      </c>
      <c r="E592" s="85">
        <v>22.7</v>
      </c>
      <c r="F592" s="6" t="s">
        <v>1574</v>
      </c>
      <c r="G592" s="6">
        <v>8</v>
      </c>
      <c r="H592" s="6">
        <v>135</v>
      </c>
      <c r="I592" s="3" t="s">
        <v>313</v>
      </c>
      <c r="J592" s="17"/>
    </row>
    <row r="593" spans="1:10" ht="12.75">
      <c r="A593" s="85">
        <v>2.6</v>
      </c>
      <c r="B593" s="85">
        <v>45</v>
      </c>
      <c r="C593" s="85">
        <v>37.6</v>
      </c>
      <c r="D593" s="85">
        <v>45</v>
      </c>
      <c r="E593" s="85">
        <v>23</v>
      </c>
      <c r="F593" s="6" t="s">
        <v>1574</v>
      </c>
      <c r="G593" s="6">
        <v>7</v>
      </c>
      <c r="H593" s="6">
        <v>130</v>
      </c>
      <c r="I593" s="3" t="s">
        <v>314</v>
      </c>
      <c r="J593" s="17"/>
    </row>
    <row r="594" spans="1:10" ht="12.75">
      <c r="A594" s="85">
        <v>2.6</v>
      </c>
      <c r="B594" s="85">
        <v>45</v>
      </c>
      <c r="C594" s="85">
        <v>35.1</v>
      </c>
      <c r="D594" s="85">
        <v>45</v>
      </c>
      <c r="E594" s="85">
        <v>25.5</v>
      </c>
      <c r="F594" s="6" t="s">
        <v>1574</v>
      </c>
      <c r="G594" s="6">
        <v>7</v>
      </c>
      <c r="H594" s="6">
        <v>135</v>
      </c>
      <c r="I594" s="3" t="s">
        <v>314</v>
      </c>
      <c r="J594" s="17"/>
    </row>
    <row r="595" spans="1:10" ht="12.75">
      <c r="A595" s="85">
        <v>2.6</v>
      </c>
      <c r="B595" s="85">
        <v>45</v>
      </c>
      <c r="C595" s="85">
        <v>37.9</v>
      </c>
      <c r="D595" s="85">
        <v>45</v>
      </c>
      <c r="E595" s="85">
        <v>22.7</v>
      </c>
      <c r="F595" s="6" t="s">
        <v>1574</v>
      </c>
      <c r="G595" s="6">
        <v>8</v>
      </c>
      <c r="H595" s="6">
        <v>135</v>
      </c>
      <c r="I595" s="3" t="s">
        <v>315</v>
      </c>
      <c r="J595" s="17"/>
    </row>
    <row r="596" spans="1:10" ht="12.75">
      <c r="A596" s="85">
        <v>2.6</v>
      </c>
      <c r="B596" s="85">
        <v>45</v>
      </c>
      <c r="C596" s="85">
        <v>36.8</v>
      </c>
      <c r="D596" s="85">
        <v>45</v>
      </c>
      <c r="E596" s="85">
        <v>23.2</v>
      </c>
      <c r="F596" s="6" t="s">
        <v>1574</v>
      </c>
      <c r="G596" s="6" t="s">
        <v>1577</v>
      </c>
      <c r="H596" s="6">
        <v>135</v>
      </c>
      <c r="I596" s="3" t="s">
        <v>671</v>
      </c>
      <c r="J596" s="17"/>
    </row>
    <row r="597" spans="1:10" ht="12.75">
      <c r="A597" s="85">
        <v>2.6</v>
      </c>
      <c r="B597" s="85">
        <v>38</v>
      </c>
      <c r="C597" s="85">
        <v>35.8</v>
      </c>
      <c r="D597" s="85">
        <v>38</v>
      </c>
      <c r="E597" s="85">
        <v>35.8</v>
      </c>
      <c r="F597" s="6" t="s">
        <v>1387</v>
      </c>
      <c r="G597" s="6"/>
      <c r="H597" s="6">
        <v>100</v>
      </c>
      <c r="I597" s="3" t="s">
        <v>1141</v>
      </c>
      <c r="J597" s="17"/>
    </row>
    <row r="598" spans="1:10" ht="12.75">
      <c r="A598" s="85">
        <v>2.6</v>
      </c>
      <c r="B598" s="85">
        <v>45</v>
      </c>
      <c r="C598" s="85">
        <v>36.8</v>
      </c>
      <c r="D598" s="85">
        <v>45</v>
      </c>
      <c r="E598" s="85">
        <v>23.2</v>
      </c>
      <c r="F598" s="6" t="s">
        <v>1574</v>
      </c>
      <c r="G598" s="6">
        <v>8</v>
      </c>
      <c r="H598" s="6">
        <v>135</v>
      </c>
      <c r="I598" s="3" t="s">
        <v>316</v>
      </c>
      <c r="J598" s="17"/>
    </row>
    <row r="599" spans="1:11" ht="12.75">
      <c r="A599" s="85">
        <v>2.6</v>
      </c>
      <c r="B599" s="85">
        <v>61</v>
      </c>
      <c r="C599" s="85">
        <v>32</v>
      </c>
      <c r="D599" s="85">
        <v>61</v>
      </c>
      <c r="E599" s="85">
        <v>18.5</v>
      </c>
      <c r="F599" s="6" t="s">
        <v>1574</v>
      </c>
      <c r="G599" s="6">
        <v>9</v>
      </c>
      <c r="H599" s="6">
        <v>135</v>
      </c>
      <c r="I599" s="3" t="s">
        <v>1154</v>
      </c>
      <c r="J599" s="135">
        <v>37900</v>
      </c>
      <c r="K599" s="102" t="s">
        <v>1153</v>
      </c>
    </row>
    <row r="600" spans="1:10" ht="12.75">
      <c r="A600" s="85">
        <v>2.6</v>
      </c>
      <c r="B600" s="85">
        <v>38</v>
      </c>
      <c r="C600" s="85">
        <v>35.8</v>
      </c>
      <c r="D600" s="85">
        <v>38</v>
      </c>
      <c r="E600" s="85">
        <v>35.8</v>
      </c>
      <c r="F600" s="6" t="s">
        <v>1387</v>
      </c>
      <c r="G600" s="6"/>
      <c r="H600" s="6">
        <v>100</v>
      </c>
      <c r="I600" s="3" t="s">
        <v>1502</v>
      </c>
      <c r="J600" s="17"/>
    </row>
    <row r="601" spans="1:11" ht="12.75">
      <c r="A601" s="85">
        <v>2.6</v>
      </c>
      <c r="B601" s="85">
        <v>61</v>
      </c>
      <c r="C601" s="85">
        <v>21.1</v>
      </c>
      <c r="D601" s="85">
        <v>61</v>
      </c>
      <c r="E601" s="85">
        <v>31.7</v>
      </c>
      <c r="F601" s="6" t="s">
        <v>1387</v>
      </c>
      <c r="G601" s="6"/>
      <c r="H601" s="6">
        <v>100</v>
      </c>
      <c r="I601" s="3" t="s">
        <v>1632</v>
      </c>
      <c r="J601" s="135">
        <v>37900</v>
      </c>
      <c r="K601" s="102" t="s">
        <v>1153</v>
      </c>
    </row>
    <row r="602" spans="1:11" ht="12.75">
      <c r="A602" s="85">
        <v>2.4</v>
      </c>
      <c r="B602" s="85">
        <v>44</v>
      </c>
      <c r="C602" s="85">
        <f>(56.9/2)+7.9+(3.3/2)</f>
        <v>38</v>
      </c>
      <c r="D602" s="85">
        <v>44</v>
      </c>
      <c r="E602" s="85">
        <f>(56.9/2)-7.9+(3.3/2)</f>
        <v>22.199999999999996</v>
      </c>
      <c r="F602" s="6" t="s">
        <v>1574</v>
      </c>
      <c r="G602" s="6" t="s">
        <v>564</v>
      </c>
      <c r="H602" s="6">
        <v>130</v>
      </c>
      <c r="I602" s="3" t="s">
        <v>1120</v>
      </c>
      <c r="J602" s="135">
        <v>37832</v>
      </c>
      <c r="K602" s="90" t="s">
        <v>154</v>
      </c>
    </row>
    <row r="603" spans="1:11" ht="12.75">
      <c r="A603" s="85">
        <v>2.4</v>
      </c>
      <c r="B603" s="85">
        <v>40</v>
      </c>
      <c r="C603" s="85">
        <f>37+(3.3/2)</f>
        <v>38.65</v>
      </c>
      <c r="D603" s="85">
        <v>40</v>
      </c>
      <c r="E603" s="85">
        <f>37+(3.3/2)</f>
        <v>38.65</v>
      </c>
      <c r="F603" s="6" t="s">
        <v>1387</v>
      </c>
      <c r="G603" s="6"/>
      <c r="H603" s="6">
        <v>100</v>
      </c>
      <c r="I603" s="3" t="s">
        <v>1155</v>
      </c>
      <c r="J603" s="135">
        <v>37832</v>
      </c>
      <c r="K603" s="90" t="s">
        <v>154</v>
      </c>
    </row>
    <row r="604" spans="1:10" ht="12.75">
      <c r="A604" s="85">
        <v>2.4</v>
      </c>
      <c r="B604" s="85">
        <v>44</v>
      </c>
      <c r="C604" s="85">
        <v>36.8</v>
      </c>
      <c r="D604" s="85">
        <v>44</v>
      </c>
      <c r="E604" s="85">
        <v>23.2</v>
      </c>
      <c r="F604" s="6" t="s">
        <v>1574</v>
      </c>
      <c r="G604" s="6">
        <v>6</v>
      </c>
      <c r="H604" s="6">
        <v>126</v>
      </c>
      <c r="I604" s="3" t="s">
        <v>317</v>
      </c>
      <c r="J604" s="17"/>
    </row>
    <row r="605" spans="1:10" ht="12.75">
      <c r="A605" s="85">
        <v>2.4</v>
      </c>
      <c r="B605" s="85">
        <v>44</v>
      </c>
      <c r="C605" s="85">
        <v>38.15</v>
      </c>
      <c r="D605" s="85">
        <v>44</v>
      </c>
      <c r="E605" s="85">
        <v>21.85</v>
      </c>
      <c r="F605" s="6" t="s">
        <v>1574</v>
      </c>
      <c r="G605" s="6">
        <v>7</v>
      </c>
      <c r="H605" s="6">
        <v>126</v>
      </c>
      <c r="I605" s="3" t="s">
        <v>318</v>
      </c>
      <c r="J605" s="17"/>
    </row>
    <row r="606" spans="1:10" ht="12.75">
      <c r="A606" s="85">
        <v>2.4</v>
      </c>
      <c r="B606" s="85">
        <v>44</v>
      </c>
      <c r="C606" s="85">
        <v>36.9</v>
      </c>
      <c r="D606" s="85">
        <v>44</v>
      </c>
      <c r="E606" s="85">
        <v>21.1</v>
      </c>
      <c r="F606" s="6" t="s">
        <v>1574</v>
      </c>
      <c r="G606" s="6">
        <v>8</v>
      </c>
      <c r="H606" s="6">
        <v>130</v>
      </c>
      <c r="I606" s="3" t="s">
        <v>319</v>
      </c>
      <c r="J606" s="17"/>
    </row>
    <row r="607" spans="1:10" ht="12.75">
      <c r="A607" s="85">
        <v>2.4</v>
      </c>
      <c r="B607" s="85">
        <v>44</v>
      </c>
      <c r="C607" s="85">
        <v>36.9</v>
      </c>
      <c r="D607" s="85">
        <v>44</v>
      </c>
      <c r="E607" s="85">
        <v>21.1</v>
      </c>
      <c r="F607" s="6" t="s">
        <v>1574</v>
      </c>
      <c r="G607" s="6">
        <v>9</v>
      </c>
      <c r="H607" s="6">
        <v>130</v>
      </c>
      <c r="I607" s="3" t="s">
        <v>320</v>
      </c>
      <c r="J607" s="17"/>
    </row>
    <row r="608" spans="1:10" ht="12.75">
      <c r="A608" s="85">
        <v>2.4</v>
      </c>
      <c r="B608" s="85">
        <v>38</v>
      </c>
      <c r="C608" s="85">
        <v>37</v>
      </c>
      <c r="D608" s="85">
        <v>38</v>
      </c>
      <c r="E608" s="85">
        <v>37</v>
      </c>
      <c r="F608" s="6" t="s">
        <v>1387</v>
      </c>
      <c r="G608" s="6"/>
      <c r="H608" s="6">
        <v>100</v>
      </c>
      <c r="I608" s="3" t="s">
        <v>1503</v>
      </c>
      <c r="J608" s="17"/>
    </row>
    <row r="609" spans="1:11" ht="12.75">
      <c r="A609" s="85">
        <v>2.4</v>
      </c>
      <c r="B609" s="85">
        <v>44</v>
      </c>
      <c r="C609" s="85">
        <v>28.95</v>
      </c>
      <c r="D609" s="85">
        <v>44</v>
      </c>
      <c r="E609" s="85">
        <v>29</v>
      </c>
      <c r="F609" s="6" t="s">
        <v>1574</v>
      </c>
      <c r="G609" s="6">
        <v>1</v>
      </c>
      <c r="H609" s="6">
        <v>120</v>
      </c>
      <c r="I609" s="3" t="s">
        <v>481</v>
      </c>
      <c r="J609" s="135">
        <v>37324</v>
      </c>
      <c r="K609" s="90" t="s">
        <v>483</v>
      </c>
    </row>
    <row r="610" spans="1:10" ht="12.75">
      <c r="A610" s="85">
        <v>2.6</v>
      </c>
      <c r="B610" s="85">
        <v>67</v>
      </c>
      <c r="C610" s="85">
        <v>34</v>
      </c>
      <c r="D610" s="85">
        <v>67</v>
      </c>
      <c r="E610" s="85">
        <v>34</v>
      </c>
      <c r="F610" s="6" t="s">
        <v>1387</v>
      </c>
      <c r="G610" s="6"/>
      <c r="H610" s="6">
        <v>100</v>
      </c>
      <c r="I610" s="3" t="s">
        <v>1506</v>
      </c>
      <c r="J610" s="17"/>
    </row>
    <row r="611" spans="1:10" ht="12.75">
      <c r="A611" s="85">
        <v>2.6</v>
      </c>
      <c r="B611" s="85">
        <v>67</v>
      </c>
      <c r="C611" s="85">
        <v>41</v>
      </c>
      <c r="D611" s="85">
        <v>67</v>
      </c>
      <c r="E611" s="85">
        <v>30</v>
      </c>
      <c r="F611" s="6" t="s">
        <v>1574</v>
      </c>
      <c r="G611" s="6">
        <v>1</v>
      </c>
      <c r="H611" s="6">
        <v>120</v>
      </c>
      <c r="I611" s="3" t="s">
        <v>1506</v>
      </c>
      <c r="J611" s="17"/>
    </row>
    <row r="612" spans="1:11" ht="12.75">
      <c r="A612" s="85">
        <v>2.4</v>
      </c>
      <c r="B612" s="85">
        <v>38</v>
      </c>
      <c r="C612" s="85">
        <v>35.8</v>
      </c>
      <c r="D612" s="85">
        <v>38</v>
      </c>
      <c r="E612" s="85">
        <v>35.77</v>
      </c>
      <c r="F612" s="6" t="s">
        <v>1387</v>
      </c>
      <c r="G612" s="6"/>
      <c r="H612" s="6">
        <v>100</v>
      </c>
      <c r="I612" s="3" t="s">
        <v>668</v>
      </c>
      <c r="J612" s="135">
        <v>37318</v>
      </c>
      <c r="K612" s="90" t="s">
        <v>158</v>
      </c>
    </row>
    <row r="613" spans="1:11" ht="12.75">
      <c r="A613" s="85">
        <v>2.4</v>
      </c>
      <c r="B613" s="85">
        <v>44</v>
      </c>
      <c r="C613" s="85">
        <v>37.48</v>
      </c>
      <c r="D613" s="85">
        <v>44</v>
      </c>
      <c r="E613" s="85">
        <v>31.71</v>
      </c>
      <c r="F613" s="6" t="s">
        <v>1574</v>
      </c>
      <c r="G613" s="6">
        <v>1</v>
      </c>
      <c r="H613" s="6">
        <v>120</v>
      </c>
      <c r="I613" s="3" t="s">
        <v>668</v>
      </c>
      <c r="J613" s="135">
        <v>37318</v>
      </c>
      <c r="K613" s="90" t="s">
        <v>158</v>
      </c>
    </row>
    <row r="614" spans="1:10" ht="12.75">
      <c r="A614" s="85">
        <v>2.6</v>
      </c>
      <c r="B614" s="85">
        <v>45</v>
      </c>
      <c r="C614" s="85">
        <v>38.2</v>
      </c>
      <c r="D614" s="85">
        <v>45</v>
      </c>
      <c r="E614" s="85">
        <v>20.2</v>
      </c>
      <c r="F614" s="6" t="s">
        <v>1574</v>
      </c>
      <c r="G614" s="6">
        <v>7</v>
      </c>
      <c r="H614" s="6">
        <v>126</v>
      </c>
      <c r="I614" s="3" t="s">
        <v>321</v>
      </c>
      <c r="J614" s="17"/>
    </row>
    <row r="615" spans="1:10" ht="12.75">
      <c r="A615" s="85">
        <v>2.6</v>
      </c>
      <c r="B615" s="85">
        <v>45</v>
      </c>
      <c r="C615" s="85">
        <v>36.2</v>
      </c>
      <c r="D615" s="85">
        <v>45</v>
      </c>
      <c r="E615" s="85">
        <v>22.2</v>
      </c>
      <c r="F615" s="6" t="s">
        <v>1574</v>
      </c>
      <c r="G615" s="6">
        <v>7</v>
      </c>
      <c r="H615" s="6">
        <v>130</v>
      </c>
      <c r="I615" s="3" t="s">
        <v>321</v>
      </c>
      <c r="J615" s="17"/>
    </row>
    <row r="616" spans="1:10" ht="12.75">
      <c r="A616" s="85">
        <v>2.6</v>
      </c>
      <c r="B616" s="85">
        <v>45</v>
      </c>
      <c r="C616" s="85">
        <v>33.7</v>
      </c>
      <c r="D616" s="85">
        <v>45</v>
      </c>
      <c r="E616" s="85">
        <v>24.7</v>
      </c>
      <c r="F616" s="6" t="s">
        <v>1574</v>
      </c>
      <c r="G616" s="6">
        <v>7</v>
      </c>
      <c r="H616" s="6">
        <v>135</v>
      </c>
      <c r="I616" s="3" t="s">
        <v>321</v>
      </c>
      <c r="J616" s="17"/>
    </row>
    <row r="617" spans="1:10" ht="12.75">
      <c r="A617" s="85">
        <v>2.6</v>
      </c>
      <c r="B617" s="85">
        <v>38</v>
      </c>
      <c r="C617" s="85">
        <v>36.3</v>
      </c>
      <c r="D617" s="85">
        <v>38</v>
      </c>
      <c r="E617" s="85">
        <v>36.3</v>
      </c>
      <c r="F617" s="6" t="s">
        <v>1387</v>
      </c>
      <c r="G617" s="6"/>
      <c r="H617" s="6">
        <v>100</v>
      </c>
      <c r="I617" s="3" t="s">
        <v>1504</v>
      </c>
      <c r="J617" s="17"/>
    </row>
    <row r="618" spans="1:11" ht="12.75">
      <c r="A618" s="85">
        <v>2.6</v>
      </c>
      <c r="B618" s="85">
        <v>45</v>
      </c>
      <c r="C618" s="85">
        <v>35.6</v>
      </c>
      <c r="D618" s="85">
        <v>45</v>
      </c>
      <c r="E618" s="85">
        <v>25</v>
      </c>
      <c r="F618" s="6" t="s">
        <v>1574</v>
      </c>
      <c r="G618" s="6">
        <v>8</v>
      </c>
      <c r="H618" s="6">
        <v>135</v>
      </c>
      <c r="I618" s="3" t="s">
        <v>707</v>
      </c>
      <c r="J618" s="135">
        <v>37315</v>
      </c>
      <c r="K618" s="90" t="s">
        <v>586</v>
      </c>
    </row>
    <row r="619" spans="1:10" ht="12.75">
      <c r="A619" s="85">
        <v>2.5</v>
      </c>
      <c r="B619" s="85">
        <v>80</v>
      </c>
      <c r="C619" s="85">
        <v>28</v>
      </c>
      <c r="D619" s="85">
        <v>80</v>
      </c>
      <c r="E619" s="85">
        <v>28</v>
      </c>
      <c r="F619" s="6" t="s">
        <v>1387</v>
      </c>
      <c r="G619" s="6"/>
      <c r="H619" s="6">
        <v>100</v>
      </c>
      <c r="I619" s="7" t="s">
        <v>1505</v>
      </c>
      <c r="J619" s="17"/>
    </row>
    <row r="620" spans="1:11" ht="12.75">
      <c r="A620" s="85">
        <v>2.8</v>
      </c>
      <c r="B620" s="85">
        <v>80</v>
      </c>
      <c r="C620" s="85">
        <v>29</v>
      </c>
      <c r="D620" s="85">
        <v>80</v>
      </c>
      <c r="E620" s="85">
        <v>29</v>
      </c>
      <c r="F620" s="6" t="s">
        <v>1387</v>
      </c>
      <c r="G620" s="6"/>
      <c r="H620" s="6">
        <v>100</v>
      </c>
      <c r="I620" s="7" t="s">
        <v>576</v>
      </c>
      <c r="J620" s="135">
        <v>37253</v>
      </c>
      <c r="K620" s="90" t="s">
        <v>414</v>
      </c>
    </row>
    <row r="621" spans="1:11" ht="12.75">
      <c r="A621" s="85">
        <v>2.8</v>
      </c>
      <c r="B621" s="85">
        <v>52</v>
      </c>
      <c r="C621" s="85">
        <v>25</v>
      </c>
      <c r="D621" s="85">
        <v>52</v>
      </c>
      <c r="E621" s="85">
        <v>33</v>
      </c>
      <c r="F621" s="6" t="s">
        <v>1387</v>
      </c>
      <c r="G621" s="6"/>
      <c r="H621" s="6">
        <v>100</v>
      </c>
      <c r="I621" s="7" t="s">
        <v>575</v>
      </c>
      <c r="J621" s="135">
        <v>37253</v>
      </c>
      <c r="K621" s="90" t="s">
        <v>414</v>
      </c>
    </row>
    <row r="622" spans="1:11" ht="12.75">
      <c r="A622" s="85">
        <v>2.8</v>
      </c>
      <c r="B622" s="85">
        <v>45</v>
      </c>
      <c r="C622" s="85">
        <v>30</v>
      </c>
      <c r="D622" s="85">
        <v>45</v>
      </c>
      <c r="E622" s="85">
        <v>21</v>
      </c>
      <c r="F622" s="6" t="s">
        <v>1574</v>
      </c>
      <c r="G622" s="6"/>
      <c r="H622" s="6">
        <v>135</v>
      </c>
      <c r="I622" s="3" t="s">
        <v>575</v>
      </c>
      <c r="J622" s="135">
        <v>37254</v>
      </c>
      <c r="K622" s="90" t="s">
        <v>414</v>
      </c>
    </row>
    <row r="623" spans="1:11" ht="12.75">
      <c r="A623" s="85">
        <v>2.6</v>
      </c>
      <c r="B623" s="85">
        <v>87</v>
      </c>
      <c r="C623" s="85">
        <v>29.225</v>
      </c>
      <c r="D623" s="85">
        <v>87</v>
      </c>
      <c r="E623" s="85">
        <v>25.375</v>
      </c>
      <c r="F623" s="6" t="s">
        <v>1574</v>
      </c>
      <c r="G623" s="6">
        <v>7</v>
      </c>
      <c r="H623" s="6">
        <v>130</v>
      </c>
      <c r="I623" s="3" t="s">
        <v>1316</v>
      </c>
      <c r="J623" s="135">
        <v>37383</v>
      </c>
      <c r="K623" s="90" t="s">
        <v>586</v>
      </c>
    </row>
    <row r="624" spans="1:10" ht="12.75">
      <c r="A624" s="85">
        <v>2.6</v>
      </c>
      <c r="B624" s="85">
        <v>84</v>
      </c>
      <c r="C624" s="85">
        <v>31.15</v>
      </c>
      <c r="D624" s="85">
        <v>84</v>
      </c>
      <c r="E624" s="85">
        <v>23.45</v>
      </c>
      <c r="F624" s="6" t="s">
        <v>1574</v>
      </c>
      <c r="G624" s="6">
        <v>1</v>
      </c>
      <c r="H624" s="6">
        <v>123.5</v>
      </c>
      <c r="I624" s="3" t="s">
        <v>322</v>
      </c>
      <c r="J624" s="17"/>
    </row>
    <row r="625" spans="1:10" ht="12.75">
      <c r="A625" s="85">
        <v>2.6</v>
      </c>
      <c r="B625" s="85">
        <v>84</v>
      </c>
      <c r="C625" s="85">
        <v>27.7</v>
      </c>
      <c r="D625" s="85">
        <v>84</v>
      </c>
      <c r="E625" s="85">
        <v>33.55</v>
      </c>
      <c r="F625" s="6" t="s">
        <v>1574</v>
      </c>
      <c r="G625" s="6">
        <v>1</v>
      </c>
      <c r="H625" s="6">
        <v>123.5</v>
      </c>
      <c r="I625" s="3" t="s">
        <v>343</v>
      </c>
      <c r="J625" s="17"/>
    </row>
    <row r="626" spans="1:10" ht="12.75">
      <c r="A626" s="85">
        <v>2.6</v>
      </c>
      <c r="B626" s="85">
        <v>87</v>
      </c>
      <c r="C626" s="85">
        <v>29.73</v>
      </c>
      <c r="D626" s="85">
        <v>87</v>
      </c>
      <c r="E626" s="85">
        <v>24.7</v>
      </c>
      <c r="F626" s="6" t="s">
        <v>1574</v>
      </c>
      <c r="G626" s="6">
        <v>1</v>
      </c>
      <c r="H626" s="6">
        <v>127</v>
      </c>
      <c r="I626" s="3" t="s">
        <v>344</v>
      </c>
      <c r="J626" s="17"/>
    </row>
    <row r="627" spans="1:10" ht="12.75">
      <c r="A627" s="85">
        <v>2.6</v>
      </c>
      <c r="B627" s="85">
        <v>87</v>
      </c>
      <c r="C627" s="85">
        <v>31.15</v>
      </c>
      <c r="D627" s="85">
        <v>87</v>
      </c>
      <c r="E627" s="85">
        <v>23.45</v>
      </c>
      <c r="F627" s="6" t="s">
        <v>1574</v>
      </c>
      <c r="G627" s="6">
        <v>1</v>
      </c>
      <c r="H627" s="6">
        <v>130</v>
      </c>
      <c r="I627" s="3" t="s">
        <v>345</v>
      </c>
      <c r="J627" s="17"/>
    </row>
    <row r="628" spans="1:10" ht="12.75">
      <c r="A628" s="85">
        <v>2.6</v>
      </c>
      <c r="B628" s="85">
        <v>52</v>
      </c>
      <c r="C628" s="85">
        <v>26</v>
      </c>
      <c r="D628" s="85">
        <v>52</v>
      </c>
      <c r="E628" s="85">
        <v>33</v>
      </c>
      <c r="F628" s="6" t="s">
        <v>1387</v>
      </c>
      <c r="G628" s="6"/>
      <c r="H628" s="6">
        <v>100</v>
      </c>
      <c r="I628" s="3" t="s">
        <v>1317</v>
      </c>
      <c r="J628" s="17"/>
    </row>
    <row r="629" spans="1:11" ht="12.75">
      <c r="A629" s="85">
        <v>2.5</v>
      </c>
      <c r="B629" s="85">
        <v>80</v>
      </c>
      <c r="C629" s="85">
        <v>23.2</v>
      </c>
      <c r="D629" s="85">
        <v>80</v>
      </c>
      <c r="E629" s="85">
        <v>28.8</v>
      </c>
      <c r="F629" s="6" t="s">
        <v>1387</v>
      </c>
      <c r="G629" s="6"/>
      <c r="H629" s="6">
        <v>100</v>
      </c>
      <c r="I629" s="3" t="s">
        <v>1318</v>
      </c>
      <c r="J629" s="136">
        <v>39053</v>
      </c>
      <c r="K629" s="90" t="s">
        <v>1319</v>
      </c>
    </row>
    <row r="630" spans="1:11" ht="12.75">
      <c r="A630" s="85">
        <v>2.6</v>
      </c>
      <c r="B630" s="85">
        <v>92.6</v>
      </c>
      <c r="C630" s="85">
        <v>29.3</v>
      </c>
      <c r="D630" s="85">
        <v>92.6</v>
      </c>
      <c r="E630" s="85">
        <v>24.9</v>
      </c>
      <c r="F630" s="6" t="s">
        <v>1574</v>
      </c>
      <c r="G630" s="6">
        <v>1</v>
      </c>
      <c r="H630" s="6">
        <v>132</v>
      </c>
      <c r="I630" s="3" t="s">
        <v>1146</v>
      </c>
      <c r="J630" s="135">
        <v>37900</v>
      </c>
      <c r="K630" s="102" t="s">
        <v>1147</v>
      </c>
    </row>
    <row r="631" spans="1:11" ht="12.75">
      <c r="A631" s="85">
        <v>2.6</v>
      </c>
      <c r="B631" s="85">
        <v>92.6</v>
      </c>
      <c r="C631" s="85">
        <f>31.85-3.2/2</f>
        <v>30.25</v>
      </c>
      <c r="D631" s="85">
        <v>92.6</v>
      </c>
      <c r="E631" s="85">
        <f>26.45-3.2/2</f>
        <v>24.849999999999998</v>
      </c>
      <c r="F631" s="6" t="s">
        <v>1574</v>
      </c>
      <c r="G631" s="6">
        <v>1</v>
      </c>
      <c r="H631" s="6"/>
      <c r="I631" s="3" t="s">
        <v>254</v>
      </c>
      <c r="J631" s="135">
        <v>38008</v>
      </c>
      <c r="K631" s="102" t="s">
        <v>1147</v>
      </c>
    </row>
    <row r="632" spans="1:11" ht="12.75">
      <c r="A632" s="85">
        <v>2.6</v>
      </c>
      <c r="B632" s="85">
        <v>92.6</v>
      </c>
      <c r="C632" s="85">
        <v>32.9</v>
      </c>
      <c r="D632" s="85">
        <v>92.6</v>
      </c>
      <c r="E632" s="85">
        <v>21.3</v>
      </c>
      <c r="F632" s="6" t="s">
        <v>1574</v>
      </c>
      <c r="G632" s="6">
        <v>1</v>
      </c>
      <c r="H632" s="6">
        <v>125</v>
      </c>
      <c r="I632" s="3" t="s">
        <v>1148</v>
      </c>
      <c r="J632" s="135">
        <v>37900</v>
      </c>
      <c r="K632" s="102" t="s">
        <v>1147</v>
      </c>
    </row>
    <row r="633" spans="1:11" ht="12.75">
      <c r="A633" s="85">
        <v>2.5</v>
      </c>
      <c r="B633" s="85">
        <v>80</v>
      </c>
      <c r="C633" s="85">
        <v>28.5</v>
      </c>
      <c r="D633" s="85">
        <v>80</v>
      </c>
      <c r="E633" s="85">
        <v>28.5</v>
      </c>
      <c r="F633" s="6" t="s">
        <v>1387</v>
      </c>
      <c r="G633" s="6"/>
      <c r="H633" s="6">
        <v>100</v>
      </c>
      <c r="I633" s="3" t="s">
        <v>851</v>
      </c>
      <c r="J633" s="135">
        <v>37175</v>
      </c>
      <c r="K633" s="90" t="s">
        <v>1508</v>
      </c>
    </row>
    <row r="634" spans="1:11" ht="12.75">
      <c r="A634" s="85">
        <v>2.6</v>
      </c>
      <c r="B634" s="85">
        <v>74</v>
      </c>
      <c r="C634" s="85">
        <v>30</v>
      </c>
      <c r="D634" s="85">
        <v>74</v>
      </c>
      <c r="E634" s="85">
        <v>30</v>
      </c>
      <c r="F634" s="6" t="s">
        <v>1387</v>
      </c>
      <c r="G634" s="6"/>
      <c r="H634" s="6">
        <v>100</v>
      </c>
      <c r="I634" s="3" t="s">
        <v>852</v>
      </c>
      <c r="J634" s="135">
        <v>38661</v>
      </c>
      <c r="K634" s="90" t="s">
        <v>830</v>
      </c>
    </row>
    <row r="635" spans="1:11" ht="12.75">
      <c r="A635" s="85">
        <v>2.6</v>
      </c>
      <c r="B635" s="85">
        <v>74</v>
      </c>
      <c r="C635" s="85">
        <f>52.3/2-3.85</f>
        <v>22.299999999999997</v>
      </c>
      <c r="D635" s="85">
        <v>74</v>
      </c>
      <c r="E635" s="85">
        <f>52.3/2+3.85</f>
        <v>30</v>
      </c>
      <c r="F635" s="6" t="s">
        <v>1387</v>
      </c>
      <c r="G635" s="6"/>
      <c r="H635" s="6">
        <v>100</v>
      </c>
      <c r="I635" s="3" t="s">
        <v>853</v>
      </c>
      <c r="J635" s="135">
        <v>38661</v>
      </c>
      <c r="K635" s="90" t="s">
        <v>830</v>
      </c>
    </row>
    <row r="636" spans="1:10" ht="12.75">
      <c r="A636" s="85">
        <v>2.6</v>
      </c>
      <c r="B636" s="85">
        <v>38</v>
      </c>
      <c r="C636" s="85">
        <v>34.5</v>
      </c>
      <c r="D636" s="85">
        <v>38</v>
      </c>
      <c r="E636" s="85">
        <v>34.5</v>
      </c>
      <c r="F636" s="6" t="s">
        <v>1387</v>
      </c>
      <c r="G636" s="6"/>
      <c r="H636" s="6">
        <v>100</v>
      </c>
      <c r="I636" s="3" t="s">
        <v>1509</v>
      </c>
      <c r="J636" s="17"/>
    </row>
    <row r="637" spans="1:10" ht="12.75">
      <c r="A637" s="85">
        <v>2.6</v>
      </c>
      <c r="B637" s="85">
        <v>45</v>
      </c>
      <c r="C637" s="85">
        <v>37.5</v>
      </c>
      <c r="D637" s="85">
        <v>45</v>
      </c>
      <c r="E637" s="85">
        <v>20.7</v>
      </c>
      <c r="F637" s="6" t="s">
        <v>1574</v>
      </c>
      <c r="G637" s="6">
        <v>7</v>
      </c>
      <c r="H637" s="6">
        <v>126</v>
      </c>
      <c r="I637" s="3" t="s">
        <v>346</v>
      </c>
      <c r="J637" s="17"/>
    </row>
    <row r="638" spans="1:10" ht="12.75">
      <c r="A638" s="85">
        <v>2.6</v>
      </c>
      <c r="B638" s="85">
        <v>45</v>
      </c>
      <c r="C638" s="85">
        <v>36</v>
      </c>
      <c r="D638" s="85">
        <v>45</v>
      </c>
      <c r="E638" s="85">
        <v>22.2</v>
      </c>
      <c r="F638" s="6" t="s">
        <v>1574</v>
      </c>
      <c r="G638" s="6">
        <v>7</v>
      </c>
      <c r="H638" s="6">
        <v>130</v>
      </c>
      <c r="I638" s="3" t="s">
        <v>346</v>
      </c>
      <c r="J638" s="17"/>
    </row>
    <row r="639" spans="1:11" ht="12.75">
      <c r="A639" s="85">
        <v>2.6</v>
      </c>
      <c r="B639" s="85">
        <v>45</v>
      </c>
      <c r="C639" s="85">
        <f>135/2-34.17+2.5</f>
        <v>35.83</v>
      </c>
      <c r="D639" s="85">
        <v>45</v>
      </c>
      <c r="E639" s="85">
        <f>135/2-46.16-2.5</f>
        <v>18.840000000000003</v>
      </c>
      <c r="F639" s="6" t="s">
        <v>1574</v>
      </c>
      <c r="G639" s="6" t="s">
        <v>1577</v>
      </c>
      <c r="H639" s="6">
        <v>130</v>
      </c>
      <c r="I639" s="3" t="s">
        <v>341</v>
      </c>
      <c r="J639" s="135">
        <v>37528</v>
      </c>
      <c r="K639" s="91" t="s">
        <v>158</v>
      </c>
    </row>
    <row r="640" spans="1:11" ht="12.75">
      <c r="A640" s="85">
        <v>2.6</v>
      </c>
      <c r="B640" s="85">
        <v>45</v>
      </c>
      <c r="C640" s="85">
        <f>135/2-34.17</f>
        <v>33.33</v>
      </c>
      <c r="D640" s="85">
        <v>45</v>
      </c>
      <c r="E640" s="85">
        <f>135/2-46.16</f>
        <v>21.340000000000003</v>
      </c>
      <c r="F640" s="6" t="s">
        <v>1574</v>
      </c>
      <c r="G640" s="6" t="s">
        <v>1577</v>
      </c>
      <c r="H640" s="6">
        <v>135</v>
      </c>
      <c r="I640" s="3" t="s">
        <v>342</v>
      </c>
      <c r="J640" s="135">
        <v>37528</v>
      </c>
      <c r="K640" s="91" t="s">
        <v>158</v>
      </c>
    </row>
    <row r="641" spans="1:10" ht="12.75">
      <c r="A641" s="85">
        <v>2.6</v>
      </c>
      <c r="B641" s="85">
        <v>38</v>
      </c>
      <c r="C641" s="85">
        <v>36.3</v>
      </c>
      <c r="D641" s="85">
        <v>38</v>
      </c>
      <c r="E641" s="85">
        <v>36.3</v>
      </c>
      <c r="F641" s="6" t="s">
        <v>1387</v>
      </c>
      <c r="G641" s="6"/>
      <c r="H641" s="6">
        <v>100</v>
      </c>
      <c r="I641" s="3" t="s">
        <v>1510</v>
      </c>
      <c r="J641" s="17"/>
    </row>
    <row r="642" spans="1:10" ht="12.75">
      <c r="A642" s="85">
        <v>2.6</v>
      </c>
      <c r="B642" s="85">
        <v>45</v>
      </c>
      <c r="C642" s="85">
        <v>37.3</v>
      </c>
      <c r="D642" s="85">
        <v>45</v>
      </c>
      <c r="E642" s="85">
        <v>20.7</v>
      </c>
      <c r="F642" s="6" t="s">
        <v>1574</v>
      </c>
      <c r="G642" s="6">
        <v>7</v>
      </c>
      <c r="H642" s="6">
        <v>126</v>
      </c>
      <c r="I642" s="3" t="s">
        <v>347</v>
      </c>
      <c r="J642" s="17"/>
    </row>
    <row r="643" spans="1:10" ht="12.75">
      <c r="A643" s="85">
        <v>2.6</v>
      </c>
      <c r="B643" s="85">
        <v>38</v>
      </c>
      <c r="C643" s="85">
        <v>36.3</v>
      </c>
      <c r="D643" s="85">
        <v>38</v>
      </c>
      <c r="E643" s="85">
        <v>36.3</v>
      </c>
      <c r="F643" s="6" t="s">
        <v>1387</v>
      </c>
      <c r="G643" s="6"/>
      <c r="H643" s="6">
        <v>100</v>
      </c>
      <c r="I643" s="3" t="s">
        <v>1511</v>
      </c>
      <c r="J643" s="17"/>
    </row>
    <row r="644" spans="1:10" ht="12.75">
      <c r="A644" s="85">
        <v>2.6</v>
      </c>
      <c r="B644" s="85">
        <v>45</v>
      </c>
      <c r="C644" s="85">
        <v>36.8</v>
      </c>
      <c r="D644" s="85">
        <v>45</v>
      </c>
      <c r="E644" s="85">
        <v>20.2</v>
      </c>
      <c r="F644" s="6" t="s">
        <v>1574</v>
      </c>
      <c r="G644" s="6">
        <v>7</v>
      </c>
      <c r="H644" s="6">
        <v>126</v>
      </c>
      <c r="I644" s="3" t="s">
        <v>348</v>
      </c>
      <c r="J644" s="17"/>
    </row>
    <row r="645" spans="1:10" ht="12.75">
      <c r="A645" s="85">
        <v>2.6</v>
      </c>
      <c r="B645" s="85">
        <v>45</v>
      </c>
      <c r="C645" s="85">
        <v>35.5</v>
      </c>
      <c r="D645" s="85">
        <v>45</v>
      </c>
      <c r="E645" s="85">
        <v>35.5</v>
      </c>
      <c r="F645" s="6" t="s">
        <v>1387</v>
      </c>
      <c r="G645" s="6"/>
      <c r="H645" s="6">
        <v>100</v>
      </c>
      <c r="I645" s="3" t="s">
        <v>1512</v>
      </c>
      <c r="J645" s="17"/>
    </row>
    <row r="646" spans="1:10" ht="12.75">
      <c r="A646" s="85">
        <v>2.6</v>
      </c>
      <c r="B646" s="85">
        <v>45</v>
      </c>
      <c r="C646" s="85">
        <v>38.1</v>
      </c>
      <c r="D646" s="85">
        <v>45</v>
      </c>
      <c r="E646" s="85">
        <v>22.5</v>
      </c>
      <c r="F646" s="6" t="s">
        <v>1574</v>
      </c>
      <c r="G646" s="6">
        <v>7</v>
      </c>
      <c r="H646" s="6">
        <v>130</v>
      </c>
      <c r="I646" s="3" t="s">
        <v>349</v>
      </c>
      <c r="J646" s="17"/>
    </row>
    <row r="647" spans="1:10" ht="12.75">
      <c r="A647" s="85">
        <v>2.6</v>
      </c>
      <c r="B647" s="85">
        <v>45</v>
      </c>
      <c r="C647" s="85">
        <v>35.6</v>
      </c>
      <c r="D647" s="85">
        <v>45</v>
      </c>
      <c r="E647" s="85">
        <v>25</v>
      </c>
      <c r="F647" s="6" t="s">
        <v>1574</v>
      </c>
      <c r="G647" s="6">
        <v>7</v>
      </c>
      <c r="H647" s="6">
        <v>135</v>
      </c>
      <c r="I647" s="3" t="s">
        <v>349</v>
      </c>
      <c r="J647" s="17"/>
    </row>
    <row r="648" spans="1:10" ht="12.75">
      <c r="A648" s="85">
        <v>2.6</v>
      </c>
      <c r="B648" s="85">
        <v>45</v>
      </c>
      <c r="C648" s="85">
        <v>38.1</v>
      </c>
      <c r="D648" s="85">
        <v>45</v>
      </c>
      <c r="E648" s="85">
        <v>22.5</v>
      </c>
      <c r="F648" s="6" t="s">
        <v>1574</v>
      </c>
      <c r="G648" s="6">
        <v>7</v>
      </c>
      <c r="H648" s="6">
        <v>130</v>
      </c>
      <c r="I648" s="3" t="s">
        <v>350</v>
      </c>
      <c r="J648" s="17"/>
    </row>
    <row r="649" spans="1:10" ht="12.75">
      <c r="A649" s="85">
        <v>2.6</v>
      </c>
      <c r="B649" s="85">
        <v>45</v>
      </c>
      <c r="C649" s="85">
        <v>35.6</v>
      </c>
      <c r="D649" s="85">
        <v>45</v>
      </c>
      <c r="E649" s="85">
        <v>25</v>
      </c>
      <c r="F649" s="6" t="s">
        <v>1574</v>
      </c>
      <c r="G649" s="6">
        <v>7</v>
      </c>
      <c r="H649" s="6">
        <v>135</v>
      </c>
      <c r="I649" s="3" t="s">
        <v>350</v>
      </c>
      <c r="J649" s="17"/>
    </row>
    <row r="650" spans="1:10" ht="12.75">
      <c r="A650" s="85">
        <v>2.6</v>
      </c>
      <c r="B650" s="85">
        <v>38</v>
      </c>
      <c r="C650" s="85">
        <v>35.8</v>
      </c>
      <c r="D650" s="85">
        <v>38</v>
      </c>
      <c r="E650" s="85">
        <v>35.8</v>
      </c>
      <c r="F650" s="6" t="s">
        <v>1387</v>
      </c>
      <c r="G650" s="6"/>
      <c r="H650" s="6">
        <v>100</v>
      </c>
      <c r="I650" s="3" t="s">
        <v>1513</v>
      </c>
      <c r="J650" s="17"/>
    </row>
    <row r="651" spans="1:10" ht="12.75">
      <c r="A651" s="85">
        <v>2.6</v>
      </c>
      <c r="B651" s="85">
        <v>45</v>
      </c>
      <c r="C651" s="85">
        <v>38.1</v>
      </c>
      <c r="D651" s="85">
        <v>45</v>
      </c>
      <c r="E651" s="85">
        <v>22.5</v>
      </c>
      <c r="F651" s="6" t="s">
        <v>1574</v>
      </c>
      <c r="G651" s="6">
        <v>7</v>
      </c>
      <c r="H651" s="6">
        <v>130</v>
      </c>
      <c r="I651" s="3" t="s">
        <v>351</v>
      </c>
      <c r="J651" s="17"/>
    </row>
    <row r="652" spans="1:10" ht="12.75">
      <c r="A652" s="85">
        <v>2.6</v>
      </c>
      <c r="B652" s="85">
        <v>45</v>
      </c>
      <c r="C652" s="85">
        <v>35.6</v>
      </c>
      <c r="D652" s="85">
        <v>45</v>
      </c>
      <c r="E652" s="85">
        <v>25</v>
      </c>
      <c r="F652" s="6" t="s">
        <v>1574</v>
      </c>
      <c r="G652" s="6">
        <v>7</v>
      </c>
      <c r="H652" s="6">
        <v>135</v>
      </c>
      <c r="I652" s="3" t="s">
        <v>351</v>
      </c>
      <c r="J652" s="17"/>
    </row>
    <row r="653" spans="1:10" ht="12.75">
      <c r="A653" s="85">
        <v>2.6</v>
      </c>
      <c r="B653" s="85">
        <v>38</v>
      </c>
      <c r="C653" s="85">
        <v>35.8</v>
      </c>
      <c r="D653" s="85">
        <v>38</v>
      </c>
      <c r="E653" s="85">
        <v>35.8</v>
      </c>
      <c r="F653" s="6" t="s">
        <v>1387</v>
      </c>
      <c r="G653" s="6"/>
      <c r="H653" s="6">
        <v>100</v>
      </c>
      <c r="I653" s="3" t="s">
        <v>1514</v>
      </c>
      <c r="J653" s="17"/>
    </row>
    <row r="654" spans="1:10" ht="12.75">
      <c r="A654" s="85">
        <v>2.6</v>
      </c>
      <c r="B654" s="85">
        <v>63</v>
      </c>
      <c r="C654" s="85">
        <v>28</v>
      </c>
      <c r="D654" s="85">
        <v>63</v>
      </c>
      <c r="E654" s="85">
        <v>22</v>
      </c>
      <c r="F654" s="6" t="s">
        <v>1574</v>
      </c>
      <c r="G654" s="6">
        <v>8</v>
      </c>
      <c r="H654" s="6">
        <v>145</v>
      </c>
      <c r="I654" s="7" t="s">
        <v>654</v>
      </c>
      <c r="J654" s="17"/>
    </row>
    <row r="655" spans="1:10" ht="12.75">
      <c r="A655" s="85">
        <v>2.6</v>
      </c>
      <c r="B655" s="85">
        <v>63</v>
      </c>
      <c r="C655" s="85">
        <v>35</v>
      </c>
      <c r="D655" s="85">
        <v>63</v>
      </c>
      <c r="E655" s="85">
        <v>35</v>
      </c>
      <c r="F655" s="6" t="s">
        <v>1387</v>
      </c>
      <c r="G655" s="6"/>
      <c r="H655" s="6">
        <v>100</v>
      </c>
      <c r="I655" s="3" t="s">
        <v>653</v>
      </c>
      <c r="J655" s="17"/>
    </row>
    <row r="656" spans="1:12" ht="12.75">
      <c r="A656" s="85">
        <v>2.4</v>
      </c>
      <c r="B656" s="85">
        <v>44</v>
      </c>
      <c r="C656" s="85">
        <v>38</v>
      </c>
      <c r="D656" s="85">
        <v>44</v>
      </c>
      <c r="E656" s="85">
        <v>18</v>
      </c>
      <c r="F656" s="6" t="s">
        <v>1574</v>
      </c>
      <c r="G656" s="6" t="s">
        <v>1577</v>
      </c>
      <c r="H656" s="6">
        <v>130</v>
      </c>
      <c r="I656" s="3" t="s">
        <v>49</v>
      </c>
      <c r="J656" s="135">
        <v>37836</v>
      </c>
      <c r="K656" s="90" t="s">
        <v>154</v>
      </c>
      <c r="L656" s="95"/>
    </row>
    <row r="657" spans="1:11" ht="12.75">
      <c r="A657" s="85">
        <v>2.5</v>
      </c>
      <c r="B657" s="85">
        <v>74</v>
      </c>
      <c r="C657" s="85">
        <v>28.5</v>
      </c>
      <c r="D657" s="85">
        <v>74</v>
      </c>
      <c r="E657" s="85">
        <v>28.5</v>
      </c>
      <c r="F657" s="6" t="s">
        <v>1387</v>
      </c>
      <c r="G657" s="6"/>
      <c r="H657" s="6">
        <v>100</v>
      </c>
      <c r="I657" s="3" t="s">
        <v>850</v>
      </c>
      <c r="J657" s="135">
        <v>38434</v>
      </c>
      <c r="K657" s="95" t="s">
        <v>849</v>
      </c>
    </row>
    <row r="658" spans="1:10" ht="12.75">
      <c r="A658" s="85">
        <v>2.6</v>
      </c>
      <c r="B658" s="85">
        <v>45</v>
      </c>
      <c r="C658" s="85">
        <v>37.1</v>
      </c>
      <c r="D658" s="85">
        <v>45</v>
      </c>
      <c r="E658" s="85">
        <v>20.9</v>
      </c>
      <c r="F658" s="6" t="s">
        <v>1574</v>
      </c>
      <c r="G658" s="6">
        <v>9</v>
      </c>
      <c r="H658" s="6">
        <v>130</v>
      </c>
      <c r="I658" s="7" t="s">
        <v>352</v>
      </c>
      <c r="J658" s="17"/>
    </row>
    <row r="659" spans="1:10" ht="12.75">
      <c r="A659" s="85">
        <v>2.6</v>
      </c>
      <c r="B659" s="85">
        <v>38</v>
      </c>
      <c r="C659" s="85">
        <v>36.3</v>
      </c>
      <c r="D659" s="85">
        <v>38</v>
      </c>
      <c r="E659" s="85">
        <v>36.3</v>
      </c>
      <c r="F659" s="6" t="s">
        <v>1387</v>
      </c>
      <c r="G659" s="6"/>
      <c r="H659" s="6">
        <v>100</v>
      </c>
      <c r="I659" s="3" t="s">
        <v>1530</v>
      </c>
      <c r="J659" s="17"/>
    </row>
    <row r="660" spans="1:11" ht="12.75">
      <c r="A660" s="85">
        <v>2.4</v>
      </c>
      <c r="B660" s="85">
        <v>38</v>
      </c>
      <c r="C660" s="85">
        <f>37+(3.3/2)</f>
        <v>38.65</v>
      </c>
      <c r="D660" s="85">
        <v>38</v>
      </c>
      <c r="E660" s="85">
        <f>37+(3.3/2)</f>
        <v>38.65</v>
      </c>
      <c r="F660" s="6" t="s">
        <v>1387</v>
      </c>
      <c r="G660" s="6"/>
      <c r="H660" s="6">
        <v>100</v>
      </c>
      <c r="I660" s="3" t="s">
        <v>38</v>
      </c>
      <c r="J660" s="135">
        <v>37836</v>
      </c>
      <c r="K660" s="90" t="s">
        <v>154</v>
      </c>
    </row>
    <row r="661" spans="1:10" ht="12.75">
      <c r="A661" s="85">
        <v>2.6</v>
      </c>
      <c r="B661" s="85">
        <v>61</v>
      </c>
      <c r="C661" s="85">
        <v>22</v>
      </c>
      <c r="D661" s="85">
        <v>61</v>
      </c>
      <c r="E661" s="85">
        <v>33</v>
      </c>
      <c r="F661" s="6" t="s">
        <v>1387</v>
      </c>
      <c r="G661" s="6"/>
      <c r="H661" s="6">
        <v>100</v>
      </c>
      <c r="I661" s="3" t="s">
        <v>1531</v>
      </c>
      <c r="J661" s="17"/>
    </row>
    <row r="662" spans="1:10" ht="12.75">
      <c r="A662" s="85">
        <v>2.6</v>
      </c>
      <c r="B662" s="85">
        <v>61</v>
      </c>
      <c r="C662" s="85">
        <v>34</v>
      </c>
      <c r="D662" s="85">
        <v>61</v>
      </c>
      <c r="E662" s="85">
        <v>19</v>
      </c>
      <c r="F662" s="6" t="s">
        <v>1574</v>
      </c>
      <c r="G662" s="6">
        <v>9</v>
      </c>
      <c r="H662" s="6">
        <v>135</v>
      </c>
      <c r="I662" s="3" t="s">
        <v>1531</v>
      </c>
      <c r="J662" s="17"/>
    </row>
    <row r="663" spans="1:11" ht="12.75">
      <c r="A663" s="85">
        <v>2.6</v>
      </c>
      <c r="B663" s="85">
        <v>45</v>
      </c>
      <c r="C663" s="85">
        <f>(58.4/2)+6.15+(3.3/2)</f>
        <v>37</v>
      </c>
      <c r="D663" s="85">
        <v>45</v>
      </c>
      <c r="E663" s="85">
        <f>(58.4/2)-6.15+(3.3/2)</f>
        <v>24.699999999999996</v>
      </c>
      <c r="F663" s="6" t="s">
        <v>1574</v>
      </c>
      <c r="G663" s="6" t="s">
        <v>1577</v>
      </c>
      <c r="H663" s="6">
        <v>135</v>
      </c>
      <c r="I663" s="3" t="s">
        <v>828</v>
      </c>
      <c r="J663" s="135">
        <v>37839</v>
      </c>
      <c r="K663" s="90" t="s">
        <v>154</v>
      </c>
    </row>
    <row r="664" spans="1:11" ht="12.75">
      <c r="A664" s="85">
        <v>2.6</v>
      </c>
      <c r="B664" s="85">
        <v>44</v>
      </c>
      <c r="C664" s="85">
        <f>(60.6/2)-5.5+(3.3/2)</f>
        <v>26.45</v>
      </c>
      <c r="D664" s="85">
        <v>38</v>
      </c>
      <c r="E664" s="85">
        <f>(60.6/2)+5.5+(3.3/2)</f>
        <v>37.449999999999996</v>
      </c>
      <c r="F664" s="6" t="s">
        <v>1387</v>
      </c>
      <c r="G664" s="6"/>
      <c r="H664" s="6">
        <v>100</v>
      </c>
      <c r="I664" s="3" t="s">
        <v>827</v>
      </c>
      <c r="J664" s="135">
        <v>37839</v>
      </c>
      <c r="K664" s="90" t="s">
        <v>154</v>
      </c>
    </row>
    <row r="665" spans="1:11" ht="12.75">
      <c r="A665" s="85">
        <v>2.6</v>
      </c>
      <c r="B665" s="85">
        <v>45</v>
      </c>
      <c r="C665" s="85">
        <v>34.5</v>
      </c>
      <c r="D665" s="85">
        <v>45</v>
      </c>
      <c r="E665" s="85">
        <v>21</v>
      </c>
      <c r="F665" s="6" t="s">
        <v>1574</v>
      </c>
      <c r="G665" s="6" t="s">
        <v>1577</v>
      </c>
      <c r="H665" s="6">
        <v>135</v>
      </c>
      <c r="I665" s="3" t="s">
        <v>825</v>
      </c>
      <c r="J665" s="135">
        <v>37839</v>
      </c>
      <c r="K665" s="90" t="s">
        <v>154</v>
      </c>
    </row>
    <row r="666" spans="1:11" ht="12.75">
      <c r="A666" s="85">
        <v>2.6</v>
      </c>
      <c r="B666" s="85">
        <v>45</v>
      </c>
      <c r="C666" s="85">
        <v>37.55</v>
      </c>
      <c r="D666" s="85">
        <v>45</v>
      </c>
      <c r="E666" s="85">
        <v>21.75</v>
      </c>
      <c r="F666" s="6" t="s">
        <v>1574</v>
      </c>
      <c r="G666" s="6" t="s">
        <v>1577</v>
      </c>
      <c r="H666" s="6">
        <v>135</v>
      </c>
      <c r="I666" s="3" t="s">
        <v>824</v>
      </c>
      <c r="J666" s="135">
        <v>38661</v>
      </c>
      <c r="K666" s="138" t="s">
        <v>830</v>
      </c>
    </row>
    <row r="667" spans="1:11" ht="12.75">
      <c r="A667" s="85">
        <v>2.6</v>
      </c>
      <c r="B667" s="85">
        <v>38</v>
      </c>
      <c r="C667" s="85">
        <v>35.5</v>
      </c>
      <c r="D667" s="85">
        <v>38</v>
      </c>
      <c r="E667" s="85">
        <v>35.5</v>
      </c>
      <c r="F667" s="6" t="s">
        <v>1387</v>
      </c>
      <c r="G667" s="6"/>
      <c r="H667" s="6">
        <v>100</v>
      </c>
      <c r="I667" s="3" t="s">
        <v>826</v>
      </c>
      <c r="J667" s="135">
        <v>37839</v>
      </c>
      <c r="K667" s="90" t="s">
        <v>154</v>
      </c>
    </row>
    <row r="668" spans="1:11" ht="12.75">
      <c r="A668" s="85">
        <v>2.6</v>
      </c>
      <c r="B668" s="85">
        <v>38</v>
      </c>
      <c r="C668" s="85">
        <v>35</v>
      </c>
      <c r="D668" s="85">
        <v>38</v>
      </c>
      <c r="E668" s="85">
        <v>35</v>
      </c>
      <c r="F668" s="6" t="s">
        <v>1387</v>
      </c>
      <c r="G668" s="6"/>
      <c r="H668" s="6">
        <v>100</v>
      </c>
      <c r="I668" s="3" t="s">
        <v>1398</v>
      </c>
      <c r="J668" s="135">
        <v>38332</v>
      </c>
      <c r="K668" s="90" t="s">
        <v>1397</v>
      </c>
    </row>
    <row r="669" spans="1:11" ht="12.75">
      <c r="A669" s="85">
        <v>2.6</v>
      </c>
      <c r="B669" s="85">
        <v>44</v>
      </c>
      <c r="C669" s="85">
        <v>37</v>
      </c>
      <c r="D669" s="85">
        <v>44</v>
      </c>
      <c r="E669" s="85">
        <v>21</v>
      </c>
      <c r="F669" s="6" t="s">
        <v>1574</v>
      </c>
      <c r="G669" s="6">
        <v>9</v>
      </c>
      <c r="H669" s="6">
        <v>135</v>
      </c>
      <c r="I669" s="3" t="s">
        <v>1399</v>
      </c>
      <c r="J669" s="135">
        <v>38332</v>
      </c>
      <c r="K669" s="90" t="s">
        <v>1397</v>
      </c>
    </row>
    <row r="670" spans="1:11" ht="12.75">
      <c r="A670" s="85">
        <v>2.6</v>
      </c>
      <c r="B670" s="85">
        <v>38</v>
      </c>
      <c r="C670" s="85">
        <v>34.15</v>
      </c>
      <c r="D670" s="85">
        <v>38</v>
      </c>
      <c r="E670" s="85">
        <v>34.15</v>
      </c>
      <c r="F670" s="6" t="s">
        <v>1387</v>
      </c>
      <c r="G670" s="6"/>
      <c r="H670" s="6">
        <v>100</v>
      </c>
      <c r="I670" s="3" t="s">
        <v>829</v>
      </c>
      <c r="J670" s="135">
        <v>37839</v>
      </c>
      <c r="K670" s="90" t="s">
        <v>154</v>
      </c>
    </row>
    <row r="671" spans="1:10" ht="12.75">
      <c r="A671" s="85">
        <v>2.6</v>
      </c>
      <c r="B671" s="85">
        <v>38</v>
      </c>
      <c r="C671" s="85">
        <v>35.8</v>
      </c>
      <c r="D671" s="85">
        <v>38</v>
      </c>
      <c r="E671" s="85">
        <v>35.8</v>
      </c>
      <c r="F671" s="6" t="s">
        <v>1387</v>
      </c>
      <c r="G671" s="6"/>
      <c r="H671" s="6">
        <v>100</v>
      </c>
      <c r="I671" s="3" t="s">
        <v>1532</v>
      </c>
      <c r="J671" s="17"/>
    </row>
    <row r="672" spans="1:10" ht="12.75">
      <c r="A672" s="85">
        <v>2.6</v>
      </c>
      <c r="B672" s="85">
        <v>45</v>
      </c>
      <c r="C672" s="85">
        <v>35.6</v>
      </c>
      <c r="D672" s="85">
        <v>45</v>
      </c>
      <c r="E672" s="85">
        <v>25</v>
      </c>
      <c r="F672" s="6" t="s">
        <v>1574</v>
      </c>
      <c r="G672" s="6" t="s">
        <v>1575</v>
      </c>
      <c r="H672" s="6">
        <v>135</v>
      </c>
      <c r="I672" s="3" t="s">
        <v>1532</v>
      </c>
      <c r="J672" s="17"/>
    </row>
    <row r="673" spans="1:11" ht="12.75">
      <c r="A673" s="85">
        <v>2.6</v>
      </c>
      <c r="B673" s="85">
        <v>45</v>
      </c>
      <c r="C673" s="85">
        <v>36.8</v>
      </c>
      <c r="D673" s="85">
        <v>45</v>
      </c>
      <c r="E673" s="85">
        <v>23.2</v>
      </c>
      <c r="F673" s="6" t="s">
        <v>1574</v>
      </c>
      <c r="G673" s="6" t="s">
        <v>1577</v>
      </c>
      <c r="H673" s="6">
        <v>135</v>
      </c>
      <c r="I673" s="3" t="s">
        <v>353</v>
      </c>
      <c r="J673" s="135">
        <v>37581</v>
      </c>
      <c r="K673" s="90" t="s">
        <v>138</v>
      </c>
    </row>
    <row r="674" spans="1:11" ht="12.75">
      <c r="A674" s="85">
        <v>2.6</v>
      </c>
      <c r="B674" s="85">
        <v>45</v>
      </c>
      <c r="C674" s="85">
        <f>58.4/2+6.15</f>
        <v>35.35</v>
      </c>
      <c r="D674" s="85">
        <v>45</v>
      </c>
      <c r="E674" s="85">
        <f>58.4/2-6.15</f>
        <v>23.049999999999997</v>
      </c>
      <c r="F674" s="6" t="s">
        <v>1574</v>
      </c>
      <c r="G674" s="6" t="s">
        <v>1577</v>
      </c>
      <c r="H674" s="6">
        <v>135</v>
      </c>
      <c r="I674" s="3" t="s">
        <v>1115</v>
      </c>
      <c r="J674" s="135">
        <v>37425</v>
      </c>
      <c r="K674" s="90" t="s">
        <v>1116</v>
      </c>
    </row>
    <row r="675" spans="1:10" ht="12.75">
      <c r="A675" s="85">
        <v>2.6</v>
      </c>
      <c r="B675" s="85">
        <v>38</v>
      </c>
      <c r="C675" s="85">
        <v>35.8</v>
      </c>
      <c r="D675" s="85">
        <v>38</v>
      </c>
      <c r="E675" s="85">
        <v>35.8</v>
      </c>
      <c r="F675" s="6" t="s">
        <v>1387</v>
      </c>
      <c r="G675" s="6"/>
      <c r="H675" s="6">
        <v>100</v>
      </c>
      <c r="I675" s="3" t="s">
        <v>1533</v>
      </c>
      <c r="J675" s="17"/>
    </row>
    <row r="676" spans="1:11" ht="12.75">
      <c r="A676" s="85">
        <v>2.6</v>
      </c>
      <c r="B676" s="85">
        <v>43.4</v>
      </c>
      <c r="C676" s="85">
        <f>60.6/2-5.5</f>
        <v>24.8</v>
      </c>
      <c r="D676" s="85">
        <v>38</v>
      </c>
      <c r="E676" s="85">
        <f>60.6/2+5.5</f>
        <v>35.8</v>
      </c>
      <c r="F676" s="6" t="s">
        <v>1387</v>
      </c>
      <c r="G676" s="6"/>
      <c r="H676" s="6">
        <v>100</v>
      </c>
      <c r="I676" s="3" t="s">
        <v>1117</v>
      </c>
      <c r="J676" s="135">
        <v>37425</v>
      </c>
      <c r="K676" s="90" t="s">
        <v>1116</v>
      </c>
    </row>
    <row r="677" spans="1:11" ht="12.75">
      <c r="A677" s="85">
        <v>2.8</v>
      </c>
      <c r="B677" s="85">
        <v>40</v>
      </c>
      <c r="C677" s="85">
        <v>30</v>
      </c>
      <c r="D677" s="85">
        <v>40</v>
      </c>
      <c r="E677" s="85">
        <v>30</v>
      </c>
      <c r="F677" s="6" t="s">
        <v>1387</v>
      </c>
      <c r="G677" s="6"/>
      <c r="H677" s="6">
        <v>100</v>
      </c>
      <c r="I677" s="3" t="s">
        <v>573</v>
      </c>
      <c r="J677" s="135">
        <v>37253</v>
      </c>
      <c r="K677" s="90" t="s">
        <v>414</v>
      </c>
    </row>
    <row r="678" spans="1:11" ht="12.75">
      <c r="A678" s="85">
        <v>2.6</v>
      </c>
      <c r="B678" s="85">
        <v>46</v>
      </c>
      <c r="C678" s="85">
        <v>33</v>
      </c>
      <c r="D678" s="85">
        <v>46</v>
      </c>
      <c r="E678" s="85">
        <v>33</v>
      </c>
      <c r="F678" s="6" t="s">
        <v>1387</v>
      </c>
      <c r="G678" s="6"/>
      <c r="H678" s="6">
        <v>100</v>
      </c>
      <c r="I678" s="3" t="s">
        <v>574</v>
      </c>
      <c r="J678" s="135">
        <v>37253</v>
      </c>
      <c r="K678" s="90" t="s">
        <v>414</v>
      </c>
    </row>
    <row r="679" spans="1:10" ht="12.75">
      <c r="A679" s="85">
        <v>2.5</v>
      </c>
      <c r="B679" s="85">
        <v>70</v>
      </c>
      <c r="C679" s="85">
        <v>30</v>
      </c>
      <c r="D679" s="85">
        <v>70</v>
      </c>
      <c r="E679" s="85">
        <v>30</v>
      </c>
      <c r="F679" s="6" t="s">
        <v>1387</v>
      </c>
      <c r="G679" s="6"/>
      <c r="H679" s="6">
        <v>100</v>
      </c>
      <c r="I679" s="7" t="s">
        <v>1534</v>
      </c>
      <c r="J679" s="17"/>
    </row>
    <row r="680" spans="1:10" ht="12.75">
      <c r="A680" s="85">
        <v>2.5</v>
      </c>
      <c r="B680" s="85">
        <v>70</v>
      </c>
      <c r="C680" s="85">
        <v>21.5</v>
      </c>
      <c r="D680" s="85">
        <v>70</v>
      </c>
      <c r="E680" s="85">
        <v>30</v>
      </c>
      <c r="F680" s="6" t="s">
        <v>1387</v>
      </c>
      <c r="G680" s="6"/>
      <c r="H680" s="6">
        <v>100</v>
      </c>
      <c r="I680" s="7" t="s">
        <v>577</v>
      </c>
      <c r="J680" s="17"/>
    </row>
    <row r="681" spans="1:10" ht="12.75">
      <c r="A681" s="85">
        <v>2.4</v>
      </c>
      <c r="B681" s="85">
        <v>38</v>
      </c>
      <c r="C681" s="85">
        <v>33</v>
      </c>
      <c r="D681" s="85">
        <v>38</v>
      </c>
      <c r="E681" s="85">
        <v>33</v>
      </c>
      <c r="F681" s="6" t="s">
        <v>1387</v>
      </c>
      <c r="G681" s="6"/>
      <c r="H681" s="6">
        <v>100</v>
      </c>
      <c r="I681" s="3" t="s">
        <v>1535</v>
      </c>
      <c r="J681" s="17"/>
    </row>
    <row r="682" spans="1:10" ht="12.75">
      <c r="A682" s="85">
        <v>2.4</v>
      </c>
      <c r="B682" s="85">
        <v>44.5</v>
      </c>
      <c r="C682" s="85">
        <v>35.5</v>
      </c>
      <c r="D682" s="85">
        <v>44.5</v>
      </c>
      <c r="E682" s="85">
        <v>20</v>
      </c>
      <c r="F682" s="6" t="s">
        <v>1574</v>
      </c>
      <c r="G682" s="6"/>
      <c r="H682" s="6">
        <v>126</v>
      </c>
      <c r="I682" s="3" t="s">
        <v>1535</v>
      </c>
      <c r="J682" s="17"/>
    </row>
    <row r="683" spans="1:10" ht="12.75">
      <c r="A683" s="85">
        <v>2.4</v>
      </c>
      <c r="B683" s="85">
        <v>44.5</v>
      </c>
      <c r="C683" s="85">
        <v>33.5</v>
      </c>
      <c r="D683" s="85">
        <v>44.5</v>
      </c>
      <c r="E683" s="85">
        <v>22</v>
      </c>
      <c r="F683" s="6" t="s">
        <v>1574</v>
      </c>
      <c r="G683" s="6"/>
      <c r="H683" s="6">
        <v>130</v>
      </c>
      <c r="I683" s="3" t="s">
        <v>1535</v>
      </c>
      <c r="J683" s="17"/>
    </row>
    <row r="684" spans="1:10" ht="12.75">
      <c r="A684" s="85">
        <v>2.4</v>
      </c>
      <c r="B684" s="85">
        <v>43</v>
      </c>
      <c r="C684" s="85">
        <v>33</v>
      </c>
      <c r="D684" s="85">
        <v>43</v>
      </c>
      <c r="E684" s="85">
        <v>33</v>
      </c>
      <c r="F684" s="6" t="s">
        <v>1387</v>
      </c>
      <c r="G684" s="6"/>
      <c r="H684" s="6">
        <v>100</v>
      </c>
      <c r="I684" s="3" t="s">
        <v>1536</v>
      </c>
      <c r="J684" s="17"/>
    </row>
    <row r="685" spans="1:10" ht="12.75">
      <c r="A685" s="85">
        <v>2.4</v>
      </c>
      <c r="B685" s="85">
        <v>46</v>
      </c>
      <c r="C685" s="85">
        <v>28</v>
      </c>
      <c r="D685" s="85">
        <v>46</v>
      </c>
      <c r="E685" s="85">
        <v>22</v>
      </c>
      <c r="F685" s="6" t="s">
        <v>1574</v>
      </c>
      <c r="G685" s="6"/>
      <c r="H685" s="6" t="s">
        <v>354</v>
      </c>
      <c r="I685" s="3" t="s">
        <v>1536</v>
      </c>
      <c r="J685" s="17"/>
    </row>
    <row r="686" spans="1:10" ht="12.75">
      <c r="A686" s="85">
        <v>2.4</v>
      </c>
      <c r="B686" s="85">
        <v>46</v>
      </c>
      <c r="C686" s="85">
        <v>33</v>
      </c>
      <c r="D686" s="85">
        <v>46</v>
      </c>
      <c r="E686" s="85">
        <v>18</v>
      </c>
      <c r="F686" s="6" t="s">
        <v>1574</v>
      </c>
      <c r="G686" s="6"/>
      <c r="H686" s="6" t="s">
        <v>302</v>
      </c>
      <c r="I686" s="3" t="s">
        <v>1536</v>
      </c>
      <c r="J686" s="17"/>
    </row>
    <row r="687" spans="1:11" ht="12.75">
      <c r="A687" s="85">
        <v>2.3</v>
      </c>
      <c r="B687" s="85">
        <v>36</v>
      </c>
      <c r="C687" s="85">
        <v>34.8</v>
      </c>
      <c r="D687" s="85">
        <v>36</v>
      </c>
      <c r="E687" s="85">
        <v>34.8</v>
      </c>
      <c r="F687" s="6" t="s">
        <v>1387</v>
      </c>
      <c r="G687" s="6"/>
      <c r="H687" s="6">
        <v>100</v>
      </c>
      <c r="I687" s="3" t="s">
        <v>579</v>
      </c>
      <c r="J687" s="135">
        <v>37253</v>
      </c>
      <c r="K687" s="90" t="s">
        <v>414</v>
      </c>
    </row>
    <row r="688" spans="1:11" ht="12.75">
      <c r="A688" s="85">
        <v>2.6</v>
      </c>
      <c r="B688" s="85">
        <v>45</v>
      </c>
      <c r="C688" s="85">
        <v>37</v>
      </c>
      <c r="D688" s="85">
        <v>45</v>
      </c>
      <c r="E688" s="85">
        <v>37</v>
      </c>
      <c r="F688" s="6" t="s">
        <v>1387</v>
      </c>
      <c r="G688" s="6"/>
      <c r="H688" s="6">
        <v>100</v>
      </c>
      <c r="I688" s="3" t="s">
        <v>578</v>
      </c>
      <c r="J688" s="135">
        <v>37253</v>
      </c>
      <c r="K688" s="90" t="s">
        <v>414</v>
      </c>
    </row>
    <row r="689" spans="1:11" ht="12.75">
      <c r="A689" s="85">
        <v>2.3</v>
      </c>
      <c r="B689" s="85">
        <v>36</v>
      </c>
      <c r="C689" s="85">
        <v>34.8</v>
      </c>
      <c r="D689" s="85">
        <v>36</v>
      </c>
      <c r="E689" s="85">
        <v>34.8</v>
      </c>
      <c r="F689" s="6" t="s">
        <v>1387</v>
      </c>
      <c r="G689" s="6"/>
      <c r="H689" s="6">
        <v>100</v>
      </c>
      <c r="I689" s="3" t="s">
        <v>580</v>
      </c>
      <c r="J689" s="135">
        <v>37253</v>
      </c>
      <c r="K689" s="90" t="s">
        <v>414</v>
      </c>
    </row>
    <row r="690" spans="1:11" ht="12.75">
      <c r="A690" s="85">
        <v>2.4</v>
      </c>
      <c r="B690" s="85">
        <v>45</v>
      </c>
      <c r="C690" s="85">
        <v>37.7</v>
      </c>
      <c r="D690" s="85">
        <v>45</v>
      </c>
      <c r="E690" s="85">
        <v>16.7</v>
      </c>
      <c r="F690" s="6" t="s">
        <v>1574</v>
      </c>
      <c r="G690" s="6"/>
      <c r="H690" s="6">
        <v>130</v>
      </c>
      <c r="I690" s="3" t="s">
        <v>580</v>
      </c>
      <c r="J690" s="135">
        <v>37254</v>
      </c>
      <c r="K690" s="90" t="s">
        <v>414</v>
      </c>
    </row>
    <row r="691" spans="1:11" ht="12.75">
      <c r="A691" s="85">
        <v>2.4</v>
      </c>
      <c r="B691" s="85">
        <v>45</v>
      </c>
      <c r="C691" s="85">
        <v>35.2</v>
      </c>
      <c r="D691" s="85">
        <v>45</v>
      </c>
      <c r="E691" s="85">
        <v>19.2</v>
      </c>
      <c r="F691" s="6" t="s">
        <v>1574</v>
      </c>
      <c r="G691" s="6"/>
      <c r="H691" s="6">
        <v>135</v>
      </c>
      <c r="I691" s="3" t="s">
        <v>580</v>
      </c>
      <c r="J691" s="135">
        <v>37254</v>
      </c>
      <c r="K691" s="90" t="s">
        <v>414</v>
      </c>
    </row>
    <row r="692" spans="1:11" ht="12.75">
      <c r="A692" s="85">
        <v>2.5</v>
      </c>
      <c r="B692" s="85">
        <v>38</v>
      </c>
      <c r="C692" s="85">
        <v>38</v>
      </c>
      <c r="D692" s="85">
        <v>54</v>
      </c>
      <c r="E692" s="85">
        <v>18</v>
      </c>
      <c r="F692" s="6" t="s">
        <v>1574</v>
      </c>
      <c r="G692" s="6"/>
      <c r="H692" s="6">
        <v>130</v>
      </c>
      <c r="I692" s="3" t="s">
        <v>547</v>
      </c>
      <c r="J692" s="135">
        <v>37254</v>
      </c>
      <c r="K692" s="90" t="s">
        <v>414</v>
      </c>
    </row>
    <row r="693" spans="1:11" ht="12.75">
      <c r="A693" s="85">
        <v>2.5</v>
      </c>
      <c r="B693" s="85">
        <v>54</v>
      </c>
      <c r="C693" s="85">
        <v>20</v>
      </c>
      <c r="D693" s="85">
        <v>54</v>
      </c>
      <c r="E693" s="85">
        <v>32</v>
      </c>
      <c r="F693" s="6" t="s">
        <v>1387</v>
      </c>
      <c r="G693" s="6"/>
      <c r="H693" s="6">
        <v>100</v>
      </c>
      <c r="I693" s="3" t="s">
        <v>581</v>
      </c>
      <c r="J693" s="135">
        <v>37253</v>
      </c>
      <c r="K693" s="90" t="s">
        <v>414</v>
      </c>
    </row>
    <row r="694" spans="1:11" ht="12.75">
      <c r="A694" s="85">
        <v>2.5</v>
      </c>
      <c r="B694" s="85">
        <v>54</v>
      </c>
      <c r="C694" s="85">
        <v>34</v>
      </c>
      <c r="D694" s="85">
        <v>54</v>
      </c>
      <c r="E694" s="85">
        <v>18</v>
      </c>
      <c r="F694" s="6" t="s">
        <v>1574</v>
      </c>
      <c r="G694" s="6"/>
      <c r="H694" s="6">
        <v>135</v>
      </c>
      <c r="I694" s="3" t="s">
        <v>581</v>
      </c>
      <c r="J694" s="135">
        <v>37254</v>
      </c>
      <c r="K694" s="90" t="s">
        <v>414</v>
      </c>
    </row>
    <row r="695" spans="1:11" ht="12.75">
      <c r="A695" s="85">
        <v>2.6</v>
      </c>
      <c r="B695" s="85">
        <v>48</v>
      </c>
      <c r="C695" s="85">
        <v>35</v>
      </c>
      <c r="D695" s="85">
        <v>48</v>
      </c>
      <c r="E695" s="85">
        <v>35</v>
      </c>
      <c r="F695" s="6" t="s">
        <v>1387</v>
      </c>
      <c r="G695" s="6"/>
      <c r="H695" s="6">
        <v>100</v>
      </c>
      <c r="I695" s="3" t="s">
        <v>582</v>
      </c>
      <c r="J695" s="135">
        <v>37253</v>
      </c>
      <c r="K695" s="90" t="s">
        <v>414</v>
      </c>
    </row>
    <row r="696" spans="1:11" ht="12.75">
      <c r="A696" s="85">
        <v>2.6</v>
      </c>
      <c r="B696" s="85">
        <v>48</v>
      </c>
      <c r="C696" s="85">
        <v>42</v>
      </c>
      <c r="D696" s="85">
        <v>48</v>
      </c>
      <c r="E696" s="85">
        <v>41</v>
      </c>
      <c r="F696" s="6" t="s">
        <v>1574</v>
      </c>
      <c r="G696" s="6">
        <v>1</v>
      </c>
      <c r="H696" s="6">
        <v>135</v>
      </c>
      <c r="I696" s="3" t="s">
        <v>548</v>
      </c>
      <c r="J696" s="135">
        <v>37254</v>
      </c>
      <c r="K696" s="90" t="s">
        <v>414</v>
      </c>
    </row>
    <row r="697" spans="1:11" ht="12.75">
      <c r="A697" s="85">
        <v>2.6</v>
      </c>
      <c r="B697" s="85">
        <v>40</v>
      </c>
      <c r="C697" s="85">
        <v>34.3</v>
      </c>
      <c r="D697" s="85">
        <v>40</v>
      </c>
      <c r="E697" s="85">
        <v>34.3</v>
      </c>
      <c r="F697" s="6" t="s">
        <v>1387</v>
      </c>
      <c r="G697" s="6"/>
      <c r="H697" s="6">
        <v>100</v>
      </c>
      <c r="I697" s="3" t="s">
        <v>255</v>
      </c>
      <c r="J697" s="135">
        <v>38053</v>
      </c>
      <c r="K697" s="90" t="s">
        <v>158</v>
      </c>
    </row>
    <row r="698" spans="1:10" ht="12.75">
      <c r="A698" s="85">
        <v>2.5</v>
      </c>
      <c r="B698" s="85">
        <v>39</v>
      </c>
      <c r="C698" s="85">
        <v>29.6</v>
      </c>
      <c r="D698" s="85">
        <v>39</v>
      </c>
      <c r="E698" s="85">
        <v>29.6</v>
      </c>
      <c r="F698" s="6" t="s">
        <v>1387</v>
      </c>
      <c r="G698" s="6"/>
      <c r="H698" s="6">
        <v>100</v>
      </c>
      <c r="I698" s="3" t="s">
        <v>1537</v>
      </c>
      <c r="J698" s="17"/>
    </row>
    <row r="699" spans="1:10" ht="12.75">
      <c r="A699" s="85">
        <v>2.5</v>
      </c>
      <c r="B699" s="85">
        <v>45</v>
      </c>
      <c r="C699" s="85">
        <v>30.7</v>
      </c>
      <c r="D699" s="85">
        <v>45</v>
      </c>
      <c r="E699" s="85">
        <v>20.5</v>
      </c>
      <c r="F699" s="6" t="s">
        <v>1574</v>
      </c>
      <c r="G699" s="6">
        <v>9</v>
      </c>
      <c r="H699" s="6">
        <v>135</v>
      </c>
      <c r="I699" s="3" t="s">
        <v>1537</v>
      </c>
      <c r="J699" s="17"/>
    </row>
    <row r="700" spans="1:10" ht="12.75">
      <c r="A700" s="85">
        <v>3</v>
      </c>
      <c r="B700" s="85">
        <v>75</v>
      </c>
      <c r="C700" s="85">
        <v>29</v>
      </c>
      <c r="D700" s="85">
        <v>75</v>
      </c>
      <c r="E700" s="85">
        <v>29</v>
      </c>
      <c r="F700" s="6" t="s">
        <v>1574</v>
      </c>
      <c r="G700" s="6">
        <v>1</v>
      </c>
      <c r="H700" s="6">
        <v>123</v>
      </c>
      <c r="I700" s="7" t="s">
        <v>357</v>
      </c>
      <c r="J700" s="17"/>
    </row>
    <row r="701" spans="1:10" ht="12.75">
      <c r="A701" s="85">
        <v>3</v>
      </c>
      <c r="B701" s="85">
        <v>75</v>
      </c>
      <c r="C701" s="85">
        <v>39.5</v>
      </c>
      <c r="D701" s="85">
        <v>75</v>
      </c>
      <c r="E701" s="85">
        <v>28.5</v>
      </c>
      <c r="F701" s="6" t="s">
        <v>1574</v>
      </c>
      <c r="G701" s="6">
        <v>1</v>
      </c>
      <c r="H701" s="6">
        <v>122</v>
      </c>
      <c r="I701" s="7" t="s">
        <v>358</v>
      </c>
      <c r="J701" s="17"/>
    </row>
    <row r="702" spans="1:10" ht="12.75">
      <c r="A702" s="85">
        <v>3</v>
      </c>
      <c r="B702" s="85">
        <v>90</v>
      </c>
      <c r="C702" s="85">
        <v>29.5</v>
      </c>
      <c r="D702" s="85">
        <v>90</v>
      </c>
      <c r="E702" s="85">
        <v>30.5</v>
      </c>
      <c r="F702" s="6" t="s">
        <v>1574</v>
      </c>
      <c r="G702" s="6">
        <v>1</v>
      </c>
      <c r="H702" s="6">
        <v>126</v>
      </c>
      <c r="I702" s="7" t="s">
        <v>359</v>
      </c>
      <c r="J702" s="17"/>
    </row>
    <row r="703" spans="1:11" ht="12.75">
      <c r="A703" s="85">
        <v>2.6</v>
      </c>
      <c r="B703" s="85">
        <v>39</v>
      </c>
      <c r="C703" s="85">
        <v>30</v>
      </c>
      <c r="D703" s="85">
        <v>39</v>
      </c>
      <c r="E703" s="85">
        <v>30</v>
      </c>
      <c r="F703" s="6" t="s">
        <v>1387</v>
      </c>
      <c r="G703" s="6"/>
      <c r="H703" s="6">
        <v>100</v>
      </c>
      <c r="I703" s="7" t="s">
        <v>584</v>
      </c>
      <c r="J703" s="135">
        <v>37253</v>
      </c>
      <c r="K703" s="90" t="s">
        <v>414</v>
      </c>
    </row>
    <row r="704" spans="1:10" ht="12.75">
      <c r="A704" s="85">
        <v>2.5</v>
      </c>
      <c r="B704" s="85">
        <v>45</v>
      </c>
      <c r="C704" s="85">
        <v>22.95</v>
      </c>
      <c r="D704" s="85">
        <v>45</v>
      </c>
      <c r="E704" s="85">
        <v>27.75</v>
      </c>
      <c r="F704" s="6" t="s">
        <v>1387</v>
      </c>
      <c r="G704" s="6"/>
      <c r="H704" s="6">
        <v>100</v>
      </c>
      <c r="I704" s="7" t="s">
        <v>583</v>
      </c>
      <c r="J704" s="17"/>
    </row>
    <row r="705" spans="1:10" ht="12.75">
      <c r="A705" s="85">
        <v>2.5</v>
      </c>
      <c r="B705" s="85">
        <v>45</v>
      </c>
      <c r="C705" s="85">
        <v>30.7</v>
      </c>
      <c r="D705" s="85">
        <v>45</v>
      </c>
      <c r="E705" s="85">
        <v>20.5</v>
      </c>
      <c r="F705" s="6" t="s">
        <v>1574</v>
      </c>
      <c r="G705" s="6">
        <v>9</v>
      </c>
      <c r="H705" s="6">
        <v>135</v>
      </c>
      <c r="I705" s="7" t="s">
        <v>1540</v>
      </c>
      <c r="J705" s="17"/>
    </row>
    <row r="706" spans="1:11" ht="12.75">
      <c r="A706" s="85">
        <v>2.6</v>
      </c>
      <c r="B706" s="85">
        <v>67</v>
      </c>
      <c r="C706" s="85">
        <v>33</v>
      </c>
      <c r="D706" s="85">
        <v>67</v>
      </c>
      <c r="E706" s="85">
        <v>18</v>
      </c>
      <c r="F706" s="6" t="s">
        <v>1574</v>
      </c>
      <c r="G706" s="6" t="s">
        <v>1577</v>
      </c>
      <c r="H706" s="6"/>
      <c r="I706" s="7" t="s">
        <v>549</v>
      </c>
      <c r="J706" s="135">
        <v>37254</v>
      </c>
      <c r="K706" s="90" t="s">
        <v>414</v>
      </c>
    </row>
    <row r="707" spans="1:11" ht="12.75">
      <c r="A707" s="85">
        <v>2.6</v>
      </c>
      <c r="B707" s="85">
        <v>67</v>
      </c>
      <c r="C707" s="85">
        <v>33</v>
      </c>
      <c r="D707" s="85">
        <v>67</v>
      </c>
      <c r="E707" s="85">
        <v>18</v>
      </c>
      <c r="F707" s="6" t="s">
        <v>1574</v>
      </c>
      <c r="G707" s="6" t="s">
        <v>1577</v>
      </c>
      <c r="H707" s="6"/>
      <c r="I707" s="7" t="s">
        <v>551</v>
      </c>
      <c r="J707" s="135">
        <v>37254</v>
      </c>
      <c r="K707" s="90" t="s">
        <v>414</v>
      </c>
    </row>
    <row r="708" spans="1:11" ht="12.75">
      <c r="A708" s="85">
        <v>2.6</v>
      </c>
      <c r="B708" s="85">
        <v>67</v>
      </c>
      <c r="C708" s="85">
        <v>33</v>
      </c>
      <c r="D708" s="85">
        <v>67</v>
      </c>
      <c r="E708" s="85">
        <v>18</v>
      </c>
      <c r="F708" s="6" t="s">
        <v>1574</v>
      </c>
      <c r="G708" s="6" t="s">
        <v>1577</v>
      </c>
      <c r="H708" s="6"/>
      <c r="I708" s="7" t="s">
        <v>550</v>
      </c>
      <c r="J708" s="135">
        <v>37254</v>
      </c>
      <c r="K708" s="90" t="s">
        <v>414</v>
      </c>
    </row>
    <row r="709" spans="1:11" ht="12.75">
      <c r="A709" s="85">
        <v>2.6</v>
      </c>
      <c r="B709" s="85">
        <v>93.6</v>
      </c>
      <c r="C709" s="85">
        <v>26.5</v>
      </c>
      <c r="D709" s="85">
        <v>93.6</v>
      </c>
      <c r="E709" s="85">
        <v>31.5</v>
      </c>
      <c r="F709" s="6" t="s">
        <v>1574</v>
      </c>
      <c r="G709" s="6">
        <v>1</v>
      </c>
      <c r="H709" s="6">
        <v>135</v>
      </c>
      <c r="I709" s="7" t="s">
        <v>1287</v>
      </c>
      <c r="J709" s="135">
        <v>39053</v>
      </c>
      <c r="K709" s="90" t="s">
        <v>1286</v>
      </c>
    </row>
    <row r="710" spans="1:10" ht="12.75">
      <c r="A710" s="85">
        <v>2.5</v>
      </c>
      <c r="B710" s="85">
        <v>45</v>
      </c>
      <c r="C710" s="85">
        <v>27.4</v>
      </c>
      <c r="D710" s="85">
        <v>45</v>
      </c>
      <c r="E710" s="85">
        <v>23.8</v>
      </c>
      <c r="F710" s="6" t="s">
        <v>1574</v>
      </c>
      <c r="G710" s="6">
        <v>7</v>
      </c>
      <c r="H710" s="6">
        <v>135</v>
      </c>
      <c r="I710" s="7" t="s">
        <v>360</v>
      </c>
      <c r="J710" s="17"/>
    </row>
    <row r="711" spans="1:10" ht="12.75">
      <c r="A711" s="85">
        <v>2.5</v>
      </c>
      <c r="B711" s="85">
        <v>45</v>
      </c>
      <c r="C711" s="85">
        <v>29.9</v>
      </c>
      <c r="D711" s="85">
        <v>45</v>
      </c>
      <c r="E711" s="85">
        <v>21.3</v>
      </c>
      <c r="F711" s="6" t="s">
        <v>1574</v>
      </c>
      <c r="G711" s="6">
        <v>7</v>
      </c>
      <c r="H711" s="6">
        <v>130</v>
      </c>
      <c r="I711" s="7" t="s">
        <v>361</v>
      </c>
      <c r="J711" s="17"/>
    </row>
    <row r="712" spans="1:10" ht="12.75">
      <c r="A712" s="85">
        <v>2.5</v>
      </c>
      <c r="B712" s="85">
        <v>45</v>
      </c>
      <c r="C712" s="85">
        <v>30.4</v>
      </c>
      <c r="D712" s="85">
        <v>45</v>
      </c>
      <c r="E712" s="85">
        <v>20.8</v>
      </c>
      <c r="F712" s="6" t="s">
        <v>1574</v>
      </c>
      <c r="G712" s="6">
        <v>8</v>
      </c>
      <c r="H712" s="6">
        <v>135</v>
      </c>
      <c r="I712" s="7" t="s">
        <v>362</v>
      </c>
      <c r="J712" s="17"/>
    </row>
    <row r="713" spans="1:10" ht="12.75">
      <c r="A713" s="85">
        <v>2.5</v>
      </c>
      <c r="B713" s="85">
        <v>39</v>
      </c>
      <c r="C713" s="85">
        <v>29.6</v>
      </c>
      <c r="D713" s="85">
        <v>39</v>
      </c>
      <c r="E713" s="85">
        <v>29.6</v>
      </c>
      <c r="F713" s="6" t="s">
        <v>1387</v>
      </c>
      <c r="G713" s="6"/>
      <c r="H713" s="6">
        <v>100</v>
      </c>
      <c r="I713" s="7" t="s">
        <v>1541</v>
      </c>
      <c r="J713" s="17"/>
    </row>
    <row r="714" spans="1:10" ht="12.75">
      <c r="A714" s="85">
        <v>2.5</v>
      </c>
      <c r="B714" s="85">
        <v>62.5</v>
      </c>
      <c r="C714" s="85">
        <v>30.4</v>
      </c>
      <c r="D714" s="85">
        <v>62.5</v>
      </c>
      <c r="E714" s="85">
        <v>20.8</v>
      </c>
      <c r="F714" s="6" t="s">
        <v>1574</v>
      </c>
      <c r="G714" s="6">
        <v>8</v>
      </c>
      <c r="H714" s="6">
        <v>135</v>
      </c>
      <c r="I714" s="7" t="s">
        <v>363</v>
      </c>
      <c r="J714" s="17"/>
    </row>
    <row r="715" spans="1:10" ht="12.75">
      <c r="A715" s="85">
        <v>2.5</v>
      </c>
      <c r="B715" s="85">
        <v>62.5</v>
      </c>
      <c r="C715" s="85">
        <v>32.9</v>
      </c>
      <c r="D715" s="85">
        <v>62.5</v>
      </c>
      <c r="E715" s="85">
        <v>18.3</v>
      </c>
      <c r="F715" s="6" t="s">
        <v>1574</v>
      </c>
      <c r="G715" s="6">
        <v>8</v>
      </c>
      <c r="H715" s="6">
        <v>130</v>
      </c>
      <c r="I715" s="7" t="s">
        <v>365</v>
      </c>
      <c r="J715" s="17"/>
    </row>
    <row r="716" spans="1:10" ht="12.75">
      <c r="A716" s="85">
        <v>2.5</v>
      </c>
      <c r="B716" s="85">
        <v>45</v>
      </c>
      <c r="C716" s="85">
        <v>32.9</v>
      </c>
      <c r="D716" s="85">
        <v>45</v>
      </c>
      <c r="E716" s="85">
        <v>18.3</v>
      </c>
      <c r="F716" s="6" t="s">
        <v>1574</v>
      </c>
      <c r="G716" s="6">
        <v>8</v>
      </c>
      <c r="H716" s="6">
        <v>130</v>
      </c>
      <c r="I716" s="7" t="s">
        <v>367</v>
      </c>
      <c r="J716" s="17"/>
    </row>
    <row r="717" spans="1:11" ht="12.75">
      <c r="A717" s="85">
        <v>2.9</v>
      </c>
      <c r="B717" s="85">
        <v>194</v>
      </c>
      <c r="C717" s="85">
        <v>27.5</v>
      </c>
      <c r="D717" s="85">
        <v>194</v>
      </c>
      <c r="E717" s="85">
        <v>27.5</v>
      </c>
      <c r="F717" s="6" t="s">
        <v>1574</v>
      </c>
      <c r="G717" s="6"/>
      <c r="H717" s="6"/>
      <c r="I717" s="7" t="s">
        <v>552</v>
      </c>
      <c r="J717" s="135">
        <v>37254</v>
      </c>
      <c r="K717" s="90" t="s">
        <v>414</v>
      </c>
    </row>
    <row r="718" spans="1:10" ht="12.75">
      <c r="A718" s="85">
        <v>2.6</v>
      </c>
      <c r="B718" s="85">
        <v>105</v>
      </c>
      <c r="C718" s="85">
        <v>37.9</v>
      </c>
      <c r="D718" s="85">
        <v>132</v>
      </c>
      <c r="E718" s="85">
        <v>20.7</v>
      </c>
      <c r="F718" s="6" t="s">
        <v>1574</v>
      </c>
      <c r="G718" s="6">
        <v>1</v>
      </c>
      <c r="H718" s="6">
        <v>135</v>
      </c>
      <c r="I718" s="7" t="s">
        <v>368</v>
      </c>
      <c r="J718" s="17"/>
    </row>
    <row r="719" spans="1:10" ht="12.75">
      <c r="A719" s="85">
        <v>3</v>
      </c>
      <c r="B719" s="85">
        <v>58</v>
      </c>
      <c r="C719" s="85">
        <v>25.5</v>
      </c>
      <c r="D719" s="85">
        <v>58</v>
      </c>
      <c r="E719" s="85">
        <v>24.5</v>
      </c>
      <c r="F719" s="6" t="s">
        <v>1574</v>
      </c>
      <c r="G719" s="6">
        <v>1</v>
      </c>
      <c r="H719" s="6">
        <v>117</v>
      </c>
      <c r="I719" s="7" t="s">
        <v>369</v>
      </c>
      <c r="J719" s="17"/>
    </row>
    <row r="720" spans="1:10" ht="12.75">
      <c r="A720" s="85">
        <v>3</v>
      </c>
      <c r="B720" s="85">
        <v>58</v>
      </c>
      <c r="C720" s="85">
        <v>25.5</v>
      </c>
      <c r="D720" s="85">
        <v>58</v>
      </c>
      <c r="E720" s="85">
        <v>24.5</v>
      </c>
      <c r="F720" s="6" t="s">
        <v>1574</v>
      </c>
      <c r="G720" s="6">
        <v>1</v>
      </c>
      <c r="H720" s="6">
        <v>118</v>
      </c>
      <c r="I720" s="7" t="s">
        <v>370</v>
      </c>
      <c r="J720" s="17"/>
    </row>
    <row r="721" spans="1:10" ht="12.75">
      <c r="A721" s="85">
        <v>3</v>
      </c>
      <c r="B721" s="85">
        <v>89</v>
      </c>
      <c r="C721" s="85">
        <v>32.5</v>
      </c>
      <c r="D721" s="85">
        <v>89</v>
      </c>
      <c r="E721" s="85">
        <v>25.5</v>
      </c>
      <c r="F721" s="6" t="s">
        <v>1574</v>
      </c>
      <c r="G721" s="6">
        <v>1</v>
      </c>
      <c r="H721" s="6">
        <v>118</v>
      </c>
      <c r="I721" s="7" t="s">
        <v>371</v>
      </c>
      <c r="J721" s="17"/>
    </row>
    <row r="722" spans="1:10" ht="12.75">
      <c r="A722" s="85">
        <v>2.6</v>
      </c>
      <c r="B722" s="85">
        <v>67</v>
      </c>
      <c r="C722" s="85">
        <v>35</v>
      </c>
      <c r="D722" s="85">
        <v>67</v>
      </c>
      <c r="E722" s="85">
        <v>20</v>
      </c>
      <c r="F722" s="6" t="s">
        <v>1574</v>
      </c>
      <c r="G722" s="6">
        <v>7</v>
      </c>
      <c r="H722" s="6">
        <v>135</v>
      </c>
      <c r="I722" s="7" t="s">
        <v>372</v>
      </c>
      <c r="J722" s="17"/>
    </row>
    <row r="723" spans="1:10" ht="12.75">
      <c r="A723" s="85">
        <v>3</v>
      </c>
      <c r="B723" s="85">
        <v>75</v>
      </c>
      <c r="C723" s="85">
        <v>34.5</v>
      </c>
      <c r="D723" s="85">
        <v>75</v>
      </c>
      <c r="E723" s="85">
        <v>34</v>
      </c>
      <c r="F723" s="6" t="s">
        <v>1574</v>
      </c>
      <c r="G723" s="6">
        <v>1</v>
      </c>
      <c r="H723" s="6">
        <v>132</v>
      </c>
      <c r="I723" s="7" t="s">
        <v>373</v>
      </c>
      <c r="J723" s="17"/>
    </row>
    <row r="724" spans="1:10" ht="12.75">
      <c r="A724" s="85">
        <v>3</v>
      </c>
      <c r="B724" s="85">
        <v>75</v>
      </c>
      <c r="C724" s="85">
        <v>34</v>
      </c>
      <c r="D724" s="85">
        <v>75</v>
      </c>
      <c r="E724" s="85">
        <v>33</v>
      </c>
      <c r="F724" s="6" t="s">
        <v>1574</v>
      </c>
      <c r="G724" s="6">
        <v>1</v>
      </c>
      <c r="H724" s="6">
        <v>130</v>
      </c>
      <c r="I724" s="7" t="s">
        <v>374</v>
      </c>
      <c r="J724" s="17"/>
    </row>
    <row r="725" spans="1:10" ht="12.75">
      <c r="A725" s="85">
        <v>3</v>
      </c>
      <c r="B725" s="85">
        <v>90</v>
      </c>
      <c r="C725" s="85">
        <v>35.7</v>
      </c>
      <c r="D725" s="85">
        <v>90</v>
      </c>
      <c r="E725" s="85">
        <v>34.8</v>
      </c>
      <c r="F725" s="6" t="s">
        <v>1574</v>
      </c>
      <c r="G725" s="6">
        <v>1</v>
      </c>
      <c r="H725" s="6">
        <v>135</v>
      </c>
      <c r="I725" s="7" t="s">
        <v>375</v>
      </c>
      <c r="J725" s="17"/>
    </row>
    <row r="726" spans="1:10" ht="12.75">
      <c r="A726" s="85">
        <v>2.5</v>
      </c>
      <c r="B726" s="85">
        <v>45</v>
      </c>
      <c r="C726" s="85">
        <v>30.8</v>
      </c>
      <c r="D726" s="85">
        <v>45</v>
      </c>
      <c r="E726" s="85">
        <v>20.4</v>
      </c>
      <c r="F726" s="6" t="s">
        <v>1574</v>
      </c>
      <c r="G726" s="6">
        <v>7</v>
      </c>
      <c r="H726" s="6">
        <v>130</v>
      </c>
      <c r="I726" s="7" t="s">
        <v>376</v>
      </c>
      <c r="J726" s="17"/>
    </row>
    <row r="727" spans="1:10" ht="12.75">
      <c r="A727" s="85">
        <v>2.4</v>
      </c>
      <c r="B727" s="85">
        <v>65</v>
      </c>
      <c r="C727" s="85">
        <v>27</v>
      </c>
      <c r="D727" s="85">
        <v>65</v>
      </c>
      <c r="E727" s="85">
        <v>27</v>
      </c>
      <c r="F727" s="6" t="s">
        <v>1574</v>
      </c>
      <c r="G727" s="6">
        <v>1</v>
      </c>
      <c r="H727" s="6"/>
      <c r="I727" s="3" t="s">
        <v>377</v>
      </c>
      <c r="J727" s="17"/>
    </row>
    <row r="728" spans="1:10" ht="12.75">
      <c r="A728" s="85">
        <v>2.4</v>
      </c>
      <c r="B728" s="85">
        <v>102.5</v>
      </c>
      <c r="C728" s="85">
        <v>27</v>
      </c>
      <c r="D728" s="85">
        <v>42.5</v>
      </c>
      <c r="E728" s="85">
        <v>27</v>
      </c>
      <c r="F728" s="6" t="s">
        <v>1387</v>
      </c>
      <c r="G728" s="6"/>
      <c r="H728" s="6">
        <v>100</v>
      </c>
      <c r="I728" s="3" t="s">
        <v>1542</v>
      </c>
      <c r="J728" s="17"/>
    </row>
    <row r="729" spans="1:10" ht="12.75">
      <c r="A729" s="85">
        <v>2.4</v>
      </c>
      <c r="B729" s="85">
        <v>101</v>
      </c>
      <c r="C729" s="85">
        <v>40</v>
      </c>
      <c r="D729" s="85">
        <v>65</v>
      </c>
      <c r="E729" s="85">
        <v>25.5</v>
      </c>
      <c r="F729" s="6" t="s">
        <v>1574</v>
      </c>
      <c r="G729" s="6"/>
      <c r="H729" s="6"/>
      <c r="I729" s="3" t="s">
        <v>1542</v>
      </c>
      <c r="J729" s="17"/>
    </row>
    <row r="730" spans="1:10" ht="12.75">
      <c r="A730" s="85">
        <v>2.4</v>
      </c>
      <c r="B730" s="85">
        <v>90</v>
      </c>
      <c r="C730" s="85">
        <v>41.5</v>
      </c>
      <c r="D730" s="85">
        <v>90</v>
      </c>
      <c r="E730" s="85">
        <v>18.5</v>
      </c>
      <c r="F730" s="6" t="s">
        <v>1574</v>
      </c>
      <c r="G730" s="6"/>
      <c r="H730" s="6"/>
      <c r="I730" s="3" t="s">
        <v>378</v>
      </c>
      <c r="J730" s="17"/>
    </row>
    <row r="731" spans="1:10" ht="12.75">
      <c r="A731" s="85">
        <v>2.4</v>
      </c>
      <c r="B731" s="85">
        <v>90</v>
      </c>
      <c r="C731" s="85">
        <v>27</v>
      </c>
      <c r="D731" s="85">
        <v>90</v>
      </c>
      <c r="E731" s="85">
        <v>27</v>
      </c>
      <c r="F731" s="6" t="s">
        <v>1387</v>
      </c>
      <c r="G731" s="6"/>
      <c r="H731" s="6">
        <v>100</v>
      </c>
      <c r="I731" s="3" t="s">
        <v>1543</v>
      </c>
      <c r="J731" s="17"/>
    </row>
    <row r="732" spans="1:10" ht="12.75">
      <c r="A732" s="85">
        <v>2.4</v>
      </c>
      <c r="B732" s="85">
        <v>82</v>
      </c>
      <c r="C732" s="85">
        <v>40</v>
      </c>
      <c r="D732" s="85">
        <v>82</v>
      </c>
      <c r="E732" s="85">
        <v>20</v>
      </c>
      <c r="F732" s="6" t="s">
        <v>1574</v>
      </c>
      <c r="G732" s="6"/>
      <c r="H732" s="6"/>
      <c r="I732" s="3" t="s">
        <v>1543</v>
      </c>
      <c r="J732" s="17"/>
    </row>
    <row r="733" spans="1:11" ht="12.75">
      <c r="A733" s="85">
        <v>2.4</v>
      </c>
      <c r="B733" s="85">
        <v>45</v>
      </c>
      <c r="C733" s="85">
        <v>37.15</v>
      </c>
      <c r="D733" s="85">
        <v>45</v>
      </c>
      <c r="E733" s="85">
        <v>19.7</v>
      </c>
      <c r="F733" s="6" t="s">
        <v>1574</v>
      </c>
      <c r="G733" s="6"/>
      <c r="H733" s="6">
        <v>135</v>
      </c>
      <c r="I733" s="3" t="s">
        <v>553</v>
      </c>
      <c r="J733" s="135">
        <v>37254</v>
      </c>
      <c r="K733" s="90" t="s">
        <v>414</v>
      </c>
    </row>
    <row r="734" spans="1:10" ht="12.75">
      <c r="A734" s="85">
        <v>2.4</v>
      </c>
      <c r="B734" s="85">
        <v>52</v>
      </c>
      <c r="C734" s="85">
        <v>34</v>
      </c>
      <c r="D734" s="85">
        <v>52</v>
      </c>
      <c r="E734" s="85">
        <v>21</v>
      </c>
      <c r="F734" s="6" t="s">
        <v>1574</v>
      </c>
      <c r="G734" s="6">
        <v>8</v>
      </c>
      <c r="H734" s="6">
        <v>135</v>
      </c>
      <c r="I734" s="3" t="s">
        <v>1526</v>
      </c>
      <c r="J734" s="17"/>
    </row>
    <row r="735" spans="1:10" ht="12.75">
      <c r="A735" s="85">
        <v>2.4</v>
      </c>
      <c r="B735" s="85">
        <v>54.5</v>
      </c>
      <c r="C735" s="85">
        <v>35.5</v>
      </c>
      <c r="D735" s="85">
        <v>54.5</v>
      </c>
      <c r="E735" s="85">
        <v>20.5</v>
      </c>
      <c r="F735" s="6" t="s">
        <v>1574</v>
      </c>
      <c r="G735" s="6">
        <v>8</v>
      </c>
      <c r="H735" s="6">
        <v>135</v>
      </c>
      <c r="I735" s="3" t="s">
        <v>1527</v>
      </c>
      <c r="J735" s="17"/>
    </row>
    <row r="736" spans="1:11" ht="12.75">
      <c r="A736" s="85">
        <v>2.6</v>
      </c>
      <c r="B736" s="85">
        <v>59.5</v>
      </c>
      <c r="C736" s="85">
        <v>24.5</v>
      </c>
      <c r="D736" s="85">
        <v>54.5</v>
      </c>
      <c r="E736" s="85">
        <v>35.5</v>
      </c>
      <c r="F736" s="6" t="s">
        <v>1387</v>
      </c>
      <c r="G736" s="6"/>
      <c r="H736" s="6">
        <v>110</v>
      </c>
      <c r="I736" s="3" t="s">
        <v>1522</v>
      </c>
      <c r="J736" s="135">
        <v>37253</v>
      </c>
      <c r="K736" s="90" t="s">
        <v>414</v>
      </c>
    </row>
    <row r="737" spans="1:11" ht="12.75">
      <c r="A737" s="85">
        <v>2.6</v>
      </c>
      <c r="B737" s="85">
        <v>59.5</v>
      </c>
      <c r="C737" s="85">
        <v>34.5</v>
      </c>
      <c r="D737" s="85">
        <v>59.5</v>
      </c>
      <c r="E737" s="85">
        <v>21</v>
      </c>
      <c r="F737" s="6" t="s">
        <v>1574</v>
      </c>
      <c r="G737" s="6">
        <v>8</v>
      </c>
      <c r="H737" s="6">
        <v>135</v>
      </c>
      <c r="I737" s="3" t="s">
        <v>1529</v>
      </c>
      <c r="J737" s="135">
        <v>37254</v>
      </c>
      <c r="K737" s="90" t="s">
        <v>414</v>
      </c>
    </row>
    <row r="738" spans="1:10" ht="12.75">
      <c r="A738" s="85">
        <v>2.6</v>
      </c>
      <c r="B738" s="85">
        <v>59.5</v>
      </c>
      <c r="C738" s="85">
        <v>21</v>
      </c>
      <c r="D738" s="85">
        <v>45.5</v>
      </c>
      <c r="E738" s="85">
        <v>35</v>
      </c>
      <c r="F738" s="6" t="s">
        <v>1387</v>
      </c>
      <c r="G738" s="6"/>
      <c r="H738" s="6">
        <v>100</v>
      </c>
      <c r="I738" s="3" t="s">
        <v>1523</v>
      </c>
      <c r="J738" s="17"/>
    </row>
    <row r="739" spans="1:11" ht="12.75">
      <c r="A739" s="85">
        <v>2.6</v>
      </c>
      <c r="B739" s="85">
        <v>51</v>
      </c>
      <c r="C739" s="85">
        <v>32.1</v>
      </c>
      <c r="D739" s="85">
        <v>51</v>
      </c>
      <c r="E739" s="85">
        <v>32.1</v>
      </c>
      <c r="F739" s="6" t="s">
        <v>1387</v>
      </c>
      <c r="G739" s="6"/>
      <c r="H739" s="6" t="s">
        <v>1474</v>
      </c>
      <c r="I739" s="3" t="s">
        <v>1528</v>
      </c>
      <c r="J739" s="135">
        <v>37254</v>
      </c>
      <c r="K739" s="90" t="s">
        <v>1521</v>
      </c>
    </row>
    <row r="740" spans="1:11" ht="12.75">
      <c r="A740" s="85">
        <v>2.6</v>
      </c>
      <c r="B740" s="85">
        <v>51</v>
      </c>
      <c r="C740" s="85">
        <v>37.1</v>
      </c>
      <c r="D740" s="85">
        <v>51</v>
      </c>
      <c r="E740" s="85">
        <v>30.2</v>
      </c>
      <c r="F740" s="6" t="s">
        <v>1574</v>
      </c>
      <c r="G740" s="48">
        <v>1</v>
      </c>
      <c r="H740" s="6">
        <v>110</v>
      </c>
      <c r="I740" s="3" t="s">
        <v>1524</v>
      </c>
      <c r="J740" s="135">
        <v>37254</v>
      </c>
      <c r="K740" s="90" t="s">
        <v>1521</v>
      </c>
    </row>
    <row r="741" spans="1:10" ht="12.75">
      <c r="A741" s="85">
        <v>2.4</v>
      </c>
      <c r="B741" s="85">
        <v>46</v>
      </c>
      <c r="C741" s="85">
        <v>34</v>
      </c>
      <c r="D741" s="85">
        <v>46</v>
      </c>
      <c r="E741" s="85">
        <v>34</v>
      </c>
      <c r="F741" s="6" t="s">
        <v>1387</v>
      </c>
      <c r="G741" s="6"/>
      <c r="H741" s="6">
        <v>100</v>
      </c>
      <c r="I741" s="3" t="s">
        <v>1525</v>
      </c>
      <c r="J741" s="17"/>
    </row>
    <row r="742" spans="1:10" ht="12.75">
      <c r="A742" s="85">
        <v>2.4</v>
      </c>
      <c r="B742" s="85">
        <v>44.5</v>
      </c>
      <c r="C742" s="85">
        <v>32</v>
      </c>
      <c r="D742" s="85">
        <v>44.5</v>
      </c>
      <c r="E742" s="85">
        <v>22</v>
      </c>
      <c r="F742" s="6" t="s">
        <v>1574</v>
      </c>
      <c r="G742" s="6">
        <v>7</v>
      </c>
      <c r="H742" s="6">
        <v>135</v>
      </c>
      <c r="I742" s="3" t="s">
        <v>379</v>
      </c>
      <c r="J742" s="17"/>
    </row>
    <row r="743" spans="1:10" ht="12.75">
      <c r="A743" s="85">
        <v>2.4</v>
      </c>
      <c r="B743" s="85">
        <v>39</v>
      </c>
      <c r="C743" s="85">
        <v>33</v>
      </c>
      <c r="D743" s="85">
        <v>39</v>
      </c>
      <c r="E743" s="85">
        <v>33</v>
      </c>
      <c r="F743" s="6" t="s">
        <v>1387</v>
      </c>
      <c r="G743" s="6"/>
      <c r="H743" s="6">
        <v>100</v>
      </c>
      <c r="I743" s="7" t="s">
        <v>1340</v>
      </c>
      <c r="J743" s="17"/>
    </row>
    <row r="744" spans="1:10" ht="12.75">
      <c r="A744" s="85">
        <v>2.4</v>
      </c>
      <c r="B744" s="85">
        <v>67</v>
      </c>
      <c r="C744" s="85">
        <v>33</v>
      </c>
      <c r="D744" s="85">
        <v>67</v>
      </c>
      <c r="E744" s="85">
        <v>33</v>
      </c>
      <c r="F744" s="6" t="s">
        <v>1387</v>
      </c>
      <c r="G744" s="6"/>
      <c r="H744" s="6">
        <v>100</v>
      </c>
      <c r="I744" s="3" t="s">
        <v>1544</v>
      </c>
      <c r="J744" s="17"/>
    </row>
    <row r="745" spans="1:10" ht="12.75">
      <c r="A745" s="85">
        <v>2.4</v>
      </c>
      <c r="B745" s="85">
        <v>67</v>
      </c>
      <c r="C745" s="85">
        <v>36</v>
      </c>
      <c r="D745" s="85">
        <v>67</v>
      </c>
      <c r="E745" s="85">
        <v>30</v>
      </c>
      <c r="F745" s="6" t="s">
        <v>1574</v>
      </c>
      <c r="G745" s="6">
        <v>1</v>
      </c>
      <c r="H745" s="6">
        <v>120</v>
      </c>
      <c r="I745" s="3" t="s">
        <v>1544</v>
      </c>
      <c r="J745" s="17"/>
    </row>
    <row r="746" spans="1:10" ht="12.75">
      <c r="A746" s="85">
        <v>2.4</v>
      </c>
      <c r="B746" s="85">
        <v>44.5</v>
      </c>
      <c r="C746" s="85">
        <v>35.5</v>
      </c>
      <c r="D746" s="85">
        <v>44.5</v>
      </c>
      <c r="E746" s="85">
        <v>20</v>
      </c>
      <c r="F746" s="6" t="s">
        <v>1574</v>
      </c>
      <c r="G746" s="6"/>
      <c r="H746" s="6">
        <v>126</v>
      </c>
      <c r="I746" s="3" t="s">
        <v>380</v>
      </c>
      <c r="J746" s="17"/>
    </row>
    <row r="747" spans="1:10" ht="12.75">
      <c r="A747" s="85">
        <v>2.4</v>
      </c>
      <c r="B747" s="85">
        <v>44.5</v>
      </c>
      <c r="C747" s="85">
        <v>31.5</v>
      </c>
      <c r="D747" s="85">
        <v>44.5</v>
      </c>
      <c r="E747" s="85">
        <v>24</v>
      </c>
      <c r="F747" s="6" t="s">
        <v>1574</v>
      </c>
      <c r="G747" s="6"/>
      <c r="H747" s="6">
        <v>135</v>
      </c>
      <c r="I747" s="3" t="s">
        <v>380</v>
      </c>
      <c r="J747" s="17"/>
    </row>
    <row r="748" spans="1:10" ht="12.75">
      <c r="A748" s="85">
        <v>2.4</v>
      </c>
      <c r="B748" s="85">
        <v>44.5</v>
      </c>
      <c r="C748" s="85">
        <v>31</v>
      </c>
      <c r="D748" s="85">
        <v>44.5</v>
      </c>
      <c r="E748" s="85">
        <v>20.5</v>
      </c>
      <c r="F748" s="6" t="s">
        <v>1574</v>
      </c>
      <c r="G748" s="6">
        <v>7</v>
      </c>
      <c r="H748" s="6">
        <v>135</v>
      </c>
      <c r="I748" s="3" t="s">
        <v>381</v>
      </c>
      <c r="J748" s="17"/>
    </row>
    <row r="749" spans="1:10" ht="12.75">
      <c r="A749" s="85">
        <v>2.4</v>
      </c>
      <c r="B749" s="85">
        <v>44.5</v>
      </c>
      <c r="C749" s="85">
        <v>33.5</v>
      </c>
      <c r="D749" s="85">
        <v>44.5</v>
      </c>
      <c r="E749" s="85">
        <v>21.5</v>
      </c>
      <c r="F749" s="6" t="s">
        <v>1574</v>
      </c>
      <c r="G749" s="6">
        <v>8</v>
      </c>
      <c r="H749" s="6">
        <v>135</v>
      </c>
      <c r="I749" s="3" t="s">
        <v>382</v>
      </c>
      <c r="J749" s="17"/>
    </row>
    <row r="750" spans="1:11" ht="12.75">
      <c r="A750" s="85">
        <v>2.5</v>
      </c>
      <c r="B750" s="85">
        <v>36</v>
      </c>
      <c r="C750" s="85">
        <v>34</v>
      </c>
      <c r="D750" s="85">
        <v>36</v>
      </c>
      <c r="E750" s="85">
        <v>34</v>
      </c>
      <c r="F750" s="6" t="s">
        <v>1387</v>
      </c>
      <c r="G750" s="6"/>
      <c r="H750" s="6">
        <v>100</v>
      </c>
      <c r="I750" s="3" t="s">
        <v>585</v>
      </c>
      <c r="J750" s="135">
        <v>37253</v>
      </c>
      <c r="K750" s="90" t="s">
        <v>414</v>
      </c>
    </row>
    <row r="751" spans="1:10" ht="12.75">
      <c r="A751" s="85">
        <v>2.4</v>
      </c>
      <c r="B751" s="85">
        <v>39</v>
      </c>
      <c r="C751" s="85">
        <v>33</v>
      </c>
      <c r="D751" s="85">
        <v>39</v>
      </c>
      <c r="E751" s="85">
        <v>33</v>
      </c>
      <c r="F751" s="6" t="s">
        <v>1387</v>
      </c>
      <c r="G751" s="6"/>
      <c r="H751" s="6">
        <v>100</v>
      </c>
      <c r="I751" s="7" t="s">
        <v>1339</v>
      </c>
      <c r="J751" s="17"/>
    </row>
    <row r="752" spans="1:10" ht="12.75">
      <c r="A752" s="85">
        <v>2.4</v>
      </c>
      <c r="B752" s="85">
        <v>44</v>
      </c>
      <c r="C752" s="85">
        <v>36</v>
      </c>
      <c r="D752" s="85">
        <v>44</v>
      </c>
      <c r="E752" s="85">
        <v>19</v>
      </c>
      <c r="F752" s="6" t="s">
        <v>1574</v>
      </c>
      <c r="G752" s="6">
        <v>7</v>
      </c>
      <c r="H752" s="6">
        <v>126</v>
      </c>
      <c r="I752" s="4" t="s">
        <v>383</v>
      </c>
      <c r="J752" s="17"/>
    </row>
    <row r="753" spans="1:10" ht="12.75">
      <c r="A753" s="85">
        <v>2.4</v>
      </c>
      <c r="B753" s="85">
        <v>44.5</v>
      </c>
      <c r="C753" s="85">
        <v>36</v>
      </c>
      <c r="D753" s="85">
        <v>44.5</v>
      </c>
      <c r="E753" s="85">
        <v>19</v>
      </c>
      <c r="F753" s="6" t="s">
        <v>1574</v>
      </c>
      <c r="G753" s="6">
        <v>7</v>
      </c>
      <c r="H753" s="6">
        <v>126</v>
      </c>
      <c r="I753" s="4" t="s">
        <v>384</v>
      </c>
      <c r="J753" s="17"/>
    </row>
    <row r="754" spans="1:10" ht="12.75">
      <c r="A754" s="85">
        <v>2.4</v>
      </c>
      <c r="B754" s="85">
        <v>39</v>
      </c>
      <c r="C754" s="85">
        <v>33</v>
      </c>
      <c r="D754" s="85">
        <v>39</v>
      </c>
      <c r="E754" s="85">
        <v>33</v>
      </c>
      <c r="F754" s="6" t="s">
        <v>1387</v>
      </c>
      <c r="G754" s="6"/>
      <c r="H754" s="6">
        <v>100</v>
      </c>
      <c r="I754" s="4" t="s">
        <v>1338</v>
      </c>
      <c r="J754" s="17"/>
    </row>
    <row r="755" spans="1:10" ht="12.75">
      <c r="A755" s="85">
        <v>2.4</v>
      </c>
      <c r="B755" s="85">
        <v>44.5</v>
      </c>
      <c r="C755" s="85">
        <v>37</v>
      </c>
      <c r="D755" s="85">
        <v>44.5</v>
      </c>
      <c r="E755" s="85">
        <v>17</v>
      </c>
      <c r="F755" s="6" t="s">
        <v>1574</v>
      </c>
      <c r="G755" s="6">
        <v>8</v>
      </c>
      <c r="H755" s="6">
        <v>130</v>
      </c>
      <c r="I755" s="3" t="s">
        <v>385</v>
      </c>
      <c r="J755" s="17"/>
    </row>
    <row r="756" spans="1:10" ht="12.75">
      <c r="A756" s="85">
        <v>2.4</v>
      </c>
      <c r="B756" s="85">
        <v>39</v>
      </c>
      <c r="C756" s="85">
        <v>33</v>
      </c>
      <c r="D756" s="85">
        <v>39</v>
      </c>
      <c r="E756" s="85">
        <v>33</v>
      </c>
      <c r="F756" s="6" t="s">
        <v>1387</v>
      </c>
      <c r="G756" s="6"/>
      <c r="H756" s="6">
        <v>100</v>
      </c>
      <c r="I756" s="4" t="s">
        <v>1346</v>
      </c>
      <c r="J756" s="17"/>
    </row>
    <row r="757" spans="1:10" ht="12.75">
      <c r="A757" s="85">
        <v>2.4</v>
      </c>
      <c r="B757" s="85">
        <v>45</v>
      </c>
      <c r="C757" s="85">
        <v>34</v>
      </c>
      <c r="D757" s="85">
        <v>45</v>
      </c>
      <c r="E757" s="85">
        <v>21</v>
      </c>
      <c r="F757" s="6" t="s">
        <v>1574</v>
      </c>
      <c r="G757" s="6">
        <v>7</v>
      </c>
      <c r="H757" s="6">
        <v>130</v>
      </c>
      <c r="I757" s="4" t="s">
        <v>386</v>
      </c>
      <c r="J757" s="17"/>
    </row>
    <row r="758" spans="1:10" ht="12.75">
      <c r="A758" s="85">
        <v>2.4</v>
      </c>
      <c r="B758" s="85">
        <v>36</v>
      </c>
      <c r="C758" s="85">
        <v>33</v>
      </c>
      <c r="D758" s="85">
        <v>36</v>
      </c>
      <c r="E758" s="85">
        <v>33</v>
      </c>
      <c r="F758" s="6" t="s">
        <v>1387</v>
      </c>
      <c r="G758" s="6"/>
      <c r="H758" s="6">
        <v>100</v>
      </c>
      <c r="I758" s="4" t="s">
        <v>1545</v>
      </c>
      <c r="J758" s="17"/>
    </row>
    <row r="759" spans="1:11" ht="12.75">
      <c r="A759" s="85">
        <v>2.4</v>
      </c>
      <c r="B759" s="85">
        <v>58</v>
      </c>
      <c r="C759" s="85">
        <v>22.5</v>
      </c>
      <c r="D759" s="85">
        <v>58</v>
      </c>
      <c r="E759" s="85">
        <v>32</v>
      </c>
      <c r="F759" s="6" t="s">
        <v>1387</v>
      </c>
      <c r="G759" s="6"/>
      <c r="H759" s="6">
        <v>100</v>
      </c>
      <c r="I759" s="3" t="s">
        <v>258</v>
      </c>
      <c r="J759" s="135">
        <v>38304</v>
      </c>
      <c r="K759" s="90" t="s">
        <v>256</v>
      </c>
    </row>
    <row r="760" spans="1:11" ht="12.75">
      <c r="A760" s="85">
        <v>2.4</v>
      </c>
      <c r="B760" s="85">
        <v>58</v>
      </c>
      <c r="C760" s="85">
        <v>34</v>
      </c>
      <c r="D760" s="85">
        <v>58</v>
      </c>
      <c r="E760" s="85">
        <v>38.5</v>
      </c>
      <c r="F760" s="6" t="s">
        <v>1574</v>
      </c>
      <c r="G760" s="6">
        <v>1</v>
      </c>
      <c r="H760" s="6">
        <v>135</v>
      </c>
      <c r="I760" s="3" t="s">
        <v>258</v>
      </c>
      <c r="J760" s="135">
        <v>38304</v>
      </c>
      <c r="K760" s="90" t="s">
        <v>256</v>
      </c>
    </row>
    <row r="761" spans="1:11" ht="12.75">
      <c r="A761" s="85">
        <v>2.4</v>
      </c>
      <c r="B761" s="85">
        <v>54</v>
      </c>
      <c r="C761" s="85">
        <v>38.4</v>
      </c>
      <c r="D761" s="85">
        <v>54</v>
      </c>
      <c r="E761" s="85">
        <v>38.4</v>
      </c>
      <c r="F761" s="6" t="s">
        <v>1574</v>
      </c>
      <c r="G761" s="6">
        <v>1</v>
      </c>
      <c r="H761" s="6">
        <v>135</v>
      </c>
      <c r="I761" s="3" t="s">
        <v>257</v>
      </c>
      <c r="J761" s="135">
        <v>38304</v>
      </c>
      <c r="K761" s="90" t="s">
        <v>256</v>
      </c>
    </row>
    <row r="762" spans="1:11" ht="12.75">
      <c r="A762" s="85">
        <v>2.4</v>
      </c>
      <c r="B762" s="85">
        <v>54</v>
      </c>
      <c r="C762" s="85">
        <v>32.2</v>
      </c>
      <c r="D762" s="85">
        <v>54</v>
      </c>
      <c r="E762" s="85">
        <v>32.2</v>
      </c>
      <c r="F762" s="6" t="s">
        <v>1387</v>
      </c>
      <c r="G762" s="6"/>
      <c r="H762" s="6">
        <v>100</v>
      </c>
      <c r="I762" s="3" t="s">
        <v>153</v>
      </c>
      <c r="J762" s="135">
        <v>38304</v>
      </c>
      <c r="K762" s="90" t="s">
        <v>256</v>
      </c>
    </row>
    <row r="763" spans="1:11" ht="12.75">
      <c r="A763" s="85">
        <v>2.4</v>
      </c>
      <c r="B763" s="85">
        <v>54</v>
      </c>
      <c r="C763" s="85">
        <v>30.1</v>
      </c>
      <c r="D763" s="85">
        <v>54</v>
      </c>
      <c r="E763" s="85">
        <v>30.1</v>
      </c>
      <c r="F763" s="6" t="s">
        <v>1574</v>
      </c>
      <c r="G763" s="6">
        <v>1</v>
      </c>
      <c r="H763" s="6">
        <v>120</v>
      </c>
      <c r="I763" s="3" t="s">
        <v>153</v>
      </c>
      <c r="J763" s="135">
        <v>38304</v>
      </c>
      <c r="K763" s="90" t="s">
        <v>256</v>
      </c>
    </row>
    <row r="764" spans="1:11" ht="12.75">
      <c r="A764" s="85">
        <v>2.4</v>
      </c>
      <c r="B764" s="85">
        <v>43</v>
      </c>
      <c r="C764" s="85">
        <v>33</v>
      </c>
      <c r="D764" s="85">
        <v>43</v>
      </c>
      <c r="E764" s="85">
        <v>33</v>
      </c>
      <c r="F764" s="6" t="s">
        <v>1387</v>
      </c>
      <c r="G764" s="6"/>
      <c r="H764" s="6">
        <v>100</v>
      </c>
      <c r="I764" s="7" t="s">
        <v>1546</v>
      </c>
      <c r="J764" s="135">
        <v>38304</v>
      </c>
      <c r="K764" s="90" t="s">
        <v>256</v>
      </c>
    </row>
    <row r="765" spans="1:11" ht="12.75">
      <c r="A765" s="85">
        <v>2.4</v>
      </c>
      <c r="B765" s="85">
        <v>43</v>
      </c>
      <c r="C765" s="85">
        <v>39</v>
      </c>
      <c r="D765" s="85">
        <v>43</v>
      </c>
      <c r="E765" s="85">
        <v>39</v>
      </c>
      <c r="F765" s="6" t="s">
        <v>1574</v>
      </c>
      <c r="G765" s="6">
        <v>1</v>
      </c>
      <c r="H765" s="6">
        <v>135</v>
      </c>
      <c r="I765" s="7" t="s">
        <v>387</v>
      </c>
      <c r="J765" s="135">
        <v>38304</v>
      </c>
      <c r="K765" s="90" t="s">
        <v>256</v>
      </c>
    </row>
    <row r="766" spans="1:11" ht="12.75">
      <c r="A766" s="85">
        <v>2.6</v>
      </c>
      <c r="B766" s="85">
        <v>62</v>
      </c>
      <c r="C766" s="85">
        <v>31</v>
      </c>
      <c r="D766" s="85">
        <v>62</v>
      </c>
      <c r="E766" s="85">
        <v>31</v>
      </c>
      <c r="F766" s="6" t="s">
        <v>1387</v>
      </c>
      <c r="G766" s="6"/>
      <c r="H766" s="6">
        <v>100</v>
      </c>
      <c r="I766" s="7" t="s">
        <v>587</v>
      </c>
      <c r="J766" s="135">
        <v>37253</v>
      </c>
      <c r="K766" s="90" t="s">
        <v>414</v>
      </c>
    </row>
    <row r="767" spans="1:11" ht="12.75">
      <c r="A767" s="85">
        <v>2.4</v>
      </c>
      <c r="B767" s="85">
        <v>62.5</v>
      </c>
      <c r="C767" s="85">
        <v>31.3</v>
      </c>
      <c r="D767" s="85">
        <v>62.5</v>
      </c>
      <c r="E767" s="85">
        <v>31.3</v>
      </c>
      <c r="F767" s="6" t="s">
        <v>1387</v>
      </c>
      <c r="G767" s="6"/>
      <c r="H767" s="6">
        <v>100</v>
      </c>
      <c r="I767" s="7" t="s">
        <v>259</v>
      </c>
      <c r="J767" s="135">
        <v>38035</v>
      </c>
      <c r="K767" s="90" t="s">
        <v>205</v>
      </c>
    </row>
    <row r="768" spans="1:11" ht="12.75">
      <c r="A768" s="85">
        <v>2.4</v>
      </c>
      <c r="B768" s="85">
        <v>62.5</v>
      </c>
      <c r="C768" s="85">
        <v>27.3</v>
      </c>
      <c r="D768" s="85">
        <v>62.5</v>
      </c>
      <c r="E768" s="85">
        <v>27.3</v>
      </c>
      <c r="F768" s="6" t="s">
        <v>1574</v>
      </c>
      <c r="G768" s="6">
        <v>1</v>
      </c>
      <c r="H768" s="6">
        <v>120</v>
      </c>
      <c r="I768" s="7" t="s">
        <v>259</v>
      </c>
      <c r="J768" s="135">
        <v>38035</v>
      </c>
      <c r="K768" s="90" t="s">
        <v>205</v>
      </c>
    </row>
    <row r="769" spans="1:10" ht="12.75">
      <c r="A769" s="85">
        <v>2.5</v>
      </c>
      <c r="B769" s="85">
        <v>63</v>
      </c>
      <c r="C769" s="85">
        <v>27</v>
      </c>
      <c r="D769" s="85">
        <v>63</v>
      </c>
      <c r="E769" s="85">
        <v>27</v>
      </c>
      <c r="F769" s="6" t="s">
        <v>1574</v>
      </c>
      <c r="G769" s="6"/>
      <c r="H769" s="6"/>
      <c r="I769" s="4" t="s">
        <v>388</v>
      </c>
      <c r="J769" s="17"/>
    </row>
    <row r="770" spans="1:10" ht="12.75">
      <c r="A770" s="85">
        <v>2.6</v>
      </c>
      <c r="B770" s="85">
        <v>63.9</v>
      </c>
      <c r="C770" s="85">
        <v>30.55</v>
      </c>
      <c r="D770" s="85">
        <v>63.9</v>
      </c>
      <c r="E770" s="85">
        <v>30.55</v>
      </c>
      <c r="F770" s="6" t="s">
        <v>1571</v>
      </c>
      <c r="G770" s="6"/>
      <c r="H770" s="6" t="s">
        <v>1571</v>
      </c>
      <c r="I770" s="3" t="s">
        <v>1573</v>
      </c>
      <c r="J770" s="17"/>
    </row>
    <row r="771" spans="1:10" ht="12.75">
      <c r="A771" s="85">
        <v>2.4</v>
      </c>
      <c r="B771" s="85">
        <v>59.8</v>
      </c>
      <c r="C771" s="85">
        <v>22.1</v>
      </c>
      <c r="D771" s="85">
        <v>39.8</v>
      </c>
      <c r="E771" s="85">
        <v>34.3</v>
      </c>
      <c r="F771" s="6" t="s">
        <v>1387</v>
      </c>
      <c r="G771" s="6"/>
      <c r="H771" s="6">
        <v>100</v>
      </c>
      <c r="I771" s="3" t="s">
        <v>1547</v>
      </c>
      <c r="J771" s="17"/>
    </row>
    <row r="772" spans="1:10" ht="12.75">
      <c r="A772" s="85">
        <v>2.4</v>
      </c>
      <c r="B772" s="85">
        <v>39.8</v>
      </c>
      <c r="C772" s="85">
        <v>34.3</v>
      </c>
      <c r="D772" s="85">
        <v>39.8</v>
      </c>
      <c r="E772" s="85">
        <v>34.3</v>
      </c>
      <c r="F772" s="6" t="s">
        <v>1387</v>
      </c>
      <c r="G772" s="6"/>
      <c r="H772" s="6">
        <v>100</v>
      </c>
      <c r="I772" s="3" t="s">
        <v>588</v>
      </c>
      <c r="J772" s="17"/>
    </row>
    <row r="773" spans="1:10" ht="12.75">
      <c r="A773" s="85">
        <v>2.4</v>
      </c>
      <c r="B773" s="85">
        <v>32</v>
      </c>
      <c r="C773" s="85">
        <v>35</v>
      </c>
      <c r="D773" s="85">
        <v>45</v>
      </c>
      <c r="E773" s="85">
        <v>18</v>
      </c>
      <c r="F773" s="6" t="s">
        <v>1574</v>
      </c>
      <c r="G773" s="6">
        <v>8</v>
      </c>
      <c r="H773" s="6">
        <v>130</v>
      </c>
      <c r="I773" s="3" t="s">
        <v>389</v>
      </c>
      <c r="J773" s="17"/>
    </row>
    <row r="774" spans="1:10" ht="12.75">
      <c r="A774" s="85">
        <v>2.4</v>
      </c>
      <c r="B774" s="85">
        <v>32</v>
      </c>
      <c r="C774" s="85">
        <v>35</v>
      </c>
      <c r="D774" s="85">
        <v>45</v>
      </c>
      <c r="E774" s="85">
        <v>22</v>
      </c>
      <c r="F774" s="6" t="s">
        <v>1574</v>
      </c>
      <c r="G774" s="6">
        <v>8</v>
      </c>
      <c r="H774" s="6">
        <v>135</v>
      </c>
      <c r="I774" s="3" t="s">
        <v>389</v>
      </c>
      <c r="J774" s="17"/>
    </row>
    <row r="775" spans="1:10" ht="12.75">
      <c r="A775" s="85">
        <v>2.4</v>
      </c>
      <c r="B775" s="85">
        <v>32</v>
      </c>
      <c r="C775" s="85">
        <v>37.5</v>
      </c>
      <c r="D775" s="85">
        <v>32</v>
      </c>
      <c r="E775" s="85">
        <v>37.5</v>
      </c>
      <c r="F775" s="6" t="s">
        <v>1387</v>
      </c>
      <c r="G775" s="6"/>
      <c r="H775" s="6">
        <v>100</v>
      </c>
      <c r="I775" s="3" t="s">
        <v>1548</v>
      </c>
      <c r="J775" s="17"/>
    </row>
    <row r="776" spans="1:10" ht="12.75">
      <c r="A776" s="85">
        <v>2.4</v>
      </c>
      <c r="B776" s="85">
        <v>42</v>
      </c>
      <c r="C776" s="85">
        <v>39</v>
      </c>
      <c r="D776" s="85">
        <v>42</v>
      </c>
      <c r="E776" s="85">
        <v>39</v>
      </c>
      <c r="F776" s="6" t="s">
        <v>1387</v>
      </c>
      <c r="G776" s="6"/>
      <c r="H776" s="6">
        <v>100</v>
      </c>
      <c r="I776" s="3" t="s">
        <v>1549</v>
      </c>
      <c r="J776" s="17"/>
    </row>
    <row r="777" spans="1:10" ht="12.75">
      <c r="A777" s="85">
        <v>2.4</v>
      </c>
      <c r="B777" s="85">
        <v>45</v>
      </c>
      <c r="C777" s="85">
        <v>33</v>
      </c>
      <c r="D777" s="85">
        <v>45</v>
      </c>
      <c r="E777" s="85">
        <v>19</v>
      </c>
      <c r="F777" s="6" t="s">
        <v>1574</v>
      </c>
      <c r="G777" s="6">
        <v>8</v>
      </c>
      <c r="H777" s="6">
        <v>135</v>
      </c>
      <c r="I777" s="3" t="s">
        <v>390</v>
      </c>
      <c r="J777" s="17"/>
    </row>
    <row r="778" spans="1:11" ht="12.75">
      <c r="A778" s="85">
        <v>2.6</v>
      </c>
      <c r="B778" s="85">
        <v>41</v>
      </c>
      <c r="C778" s="85">
        <v>35</v>
      </c>
      <c r="D778" s="85">
        <v>41</v>
      </c>
      <c r="E778" s="85">
        <v>35</v>
      </c>
      <c r="F778" s="6" t="s">
        <v>1387</v>
      </c>
      <c r="G778" s="6"/>
      <c r="H778" s="6">
        <v>100</v>
      </c>
      <c r="I778" s="3" t="s">
        <v>589</v>
      </c>
      <c r="J778" s="135">
        <v>37253</v>
      </c>
      <c r="K778" s="90" t="s">
        <v>414</v>
      </c>
    </row>
    <row r="779" spans="1:11" ht="12.75">
      <c r="A779" s="85">
        <v>2.4</v>
      </c>
      <c r="B779" s="85">
        <v>61</v>
      </c>
      <c r="C779" s="85">
        <v>23.6</v>
      </c>
      <c r="D779" s="85">
        <v>45</v>
      </c>
      <c r="E779" s="85">
        <v>31.9</v>
      </c>
      <c r="F779" s="6" t="s">
        <v>1387</v>
      </c>
      <c r="G779" s="6"/>
      <c r="H779" s="6">
        <v>100</v>
      </c>
      <c r="I779" s="3" t="s">
        <v>1550</v>
      </c>
      <c r="J779" s="17"/>
      <c r="K779" s="90" t="s">
        <v>281</v>
      </c>
    </row>
    <row r="780" spans="1:11" ht="12.75">
      <c r="A780" s="85">
        <v>2.4</v>
      </c>
      <c r="B780" s="85">
        <v>61</v>
      </c>
      <c r="C780" s="85">
        <v>34.1</v>
      </c>
      <c r="D780" s="85">
        <v>61</v>
      </c>
      <c r="E780" s="85">
        <v>19.2</v>
      </c>
      <c r="F780" s="6" t="s">
        <v>1574</v>
      </c>
      <c r="G780" s="6" t="s">
        <v>1577</v>
      </c>
      <c r="H780" s="6">
        <v>135</v>
      </c>
      <c r="I780" s="3" t="s">
        <v>391</v>
      </c>
      <c r="J780" s="17"/>
      <c r="K780" s="90" t="s">
        <v>280</v>
      </c>
    </row>
    <row r="781" spans="1:11" ht="12.75">
      <c r="A781" s="85">
        <v>2.4</v>
      </c>
      <c r="B781" s="85">
        <v>38</v>
      </c>
      <c r="C781" s="85">
        <v>34</v>
      </c>
      <c r="D781" s="85">
        <v>38</v>
      </c>
      <c r="E781" s="85">
        <v>34</v>
      </c>
      <c r="F781" s="6" t="s">
        <v>1387</v>
      </c>
      <c r="G781" s="6"/>
      <c r="H781" s="6">
        <v>100</v>
      </c>
      <c r="I781" s="3" t="s">
        <v>1551</v>
      </c>
      <c r="J781" s="17"/>
      <c r="K781" s="90" t="s">
        <v>281</v>
      </c>
    </row>
    <row r="782" spans="1:11" ht="12.75">
      <c r="A782" s="85">
        <v>2.4</v>
      </c>
      <c r="B782" s="85">
        <v>45</v>
      </c>
      <c r="C782" s="85">
        <v>32</v>
      </c>
      <c r="D782" s="85">
        <v>61</v>
      </c>
      <c r="E782" s="85">
        <v>19.5</v>
      </c>
      <c r="F782" s="6" t="s">
        <v>1574</v>
      </c>
      <c r="G782" s="6" t="s">
        <v>1577</v>
      </c>
      <c r="H782" s="6">
        <v>135</v>
      </c>
      <c r="I782" s="3" t="s">
        <v>392</v>
      </c>
      <c r="J782" s="17"/>
      <c r="K782" s="90" t="s">
        <v>280</v>
      </c>
    </row>
    <row r="783" spans="1:11" ht="12.75">
      <c r="A783" s="85">
        <v>2.4</v>
      </c>
      <c r="B783" s="85">
        <v>38</v>
      </c>
      <c r="C783" s="85">
        <v>34</v>
      </c>
      <c r="D783" s="85">
        <v>38</v>
      </c>
      <c r="E783" s="85">
        <v>34</v>
      </c>
      <c r="F783" s="6" t="s">
        <v>1387</v>
      </c>
      <c r="G783" s="6"/>
      <c r="H783" s="6">
        <v>100</v>
      </c>
      <c r="I783" s="3" t="s">
        <v>1552</v>
      </c>
      <c r="J783" s="17"/>
      <c r="K783" s="90" t="s">
        <v>281</v>
      </c>
    </row>
    <row r="784" spans="1:11" ht="12.75">
      <c r="A784" s="85">
        <v>2.4</v>
      </c>
      <c r="B784" s="85">
        <v>45</v>
      </c>
      <c r="C784" s="85">
        <v>32</v>
      </c>
      <c r="D784" s="85">
        <v>61</v>
      </c>
      <c r="E784" s="85">
        <v>19.5</v>
      </c>
      <c r="F784" s="6" t="s">
        <v>1574</v>
      </c>
      <c r="G784" s="6" t="s">
        <v>1577</v>
      </c>
      <c r="H784" s="6">
        <v>135</v>
      </c>
      <c r="I784" s="3" t="s">
        <v>393</v>
      </c>
      <c r="J784" s="17"/>
      <c r="K784" s="90" t="s">
        <v>280</v>
      </c>
    </row>
    <row r="785" spans="1:11" ht="12.75">
      <c r="A785" s="85">
        <v>2.5</v>
      </c>
      <c r="B785" s="85">
        <v>56</v>
      </c>
      <c r="C785" s="85">
        <v>22</v>
      </c>
      <c r="D785" s="85">
        <v>56</v>
      </c>
      <c r="E785" s="85">
        <v>35</v>
      </c>
      <c r="F785" s="6" t="s">
        <v>1387</v>
      </c>
      <c r="G785" s="6"/>
      <c r="H785" s="6">
        <v>100</v>
      </c>
      <c r="I785" s="3" t="s">
        <v>595</v>
      </c>
      <c r="J785" s="135">
        <v>37253</v>
      </c>
      <c r="K785" s="90" t="s">
        <v>414</v>
      </c>
    </row>
    <row r="786" spans="1:11" ht="12.75">
      <c r="A786" s="85">
        <v>2.5</v>
      </c>
      <c r="B786" s="85">
        <v>56</v>
      </c>
      <c r="C786" s="85">
        <v>19</v>
      </c>
      <c r="D786" s="85">
        <v>56</v>
      </c>
      <c r="E786" s="85">
        <v>34</v>
      </c>
      <c r="F786" s="6" t="s">
        <v>1387</v>
      </c>
      <c r="G786" s="6"/>
      <c r="H786" s="6">
        <v>110</v>
      </c>
      <c r="I786" s="3" t="s">
        <v>593</v>
      </c>
      <c r="J786" s="135">
        <v>37253</v>
      </c>
      <c r="K786" s="90" t="s">
        <v>414</v>
      </c>
    </row>
    <row r="787" spans="1:11" ht="12.75">
      <c r="A787" s="85">
        <v>2.4</v>
      </c>
      <c r="B787" s="85">
        <v>59</v>
      </c>
      <c r="C787" s="85">
        <v>20</v>
      </c>
      <c r="D787" s="85">
        <v>59</v>
      </c>
      <c r="E787" s="85">
        <v>31</v>
      </c>
      <c r="F787" s="6" t="s">
        <v>1387</v>
      </c>
      <c r="G787" s="6"/>
      <c r="H787" s="6">
        <v>100</v>
      </c>
      <c r="I787" s="3" t="s">
        <v>591</v>
      </c>
      <c r="J787" s="135">
        <v>37253</v>
      </c>
      <c r="K787" s="90" t="s">
        <v>414</v>
      </c>
    </row>
    <row r="788" spans="1:11" ht="12.75">
      <c r="A788" s="85">
        <v>2.4</v>
      </c>
      <c r="B788" s="85">
        <v>59</v>
      </c>
      <c r="C788" s="85">
        <v>31</v>
      </c>
      <c r="D788" s="85">
        <v>59</v>
      </c>
      <c r="E788" s="85">
        <v>20</v>
      </c>
      <c r="F788" s="6" t="s">
        <v>1574</v>
      </c>
      <c r="G788" s="45"/>
      <c r="H788" s="6">
        <v>135</v>
      </c>
      <c r="I788" s="3" t="s">
        <v>591</v>
      </c>
      <c r="J788" s="135">
        <v>37254</v>
      </c>
      <c r="K788" s="90" t="s">
        <v>414</v>
      </c>
    </row>
    <row r="789" spans="1:11" ht="12.75">
      <c r="A789" s="85">
        <v>2.5</v>
      </c>
      <c r="B789" s="85">
        <v>56</v>
      </c>
      <c r="C789" s="85">
        <v>24</v>
      </c>
      <c r="D789" s="85">
        <v>56</v>
      </c>
      <c r="E789" s="85">
        <v>35</v>
      </c>
      <c r="F789" s="6" t="s">
        <v>1387</v>
      </c>
      <c r="G789" s="6"/>
      <c r="H789" s="6">
        <v>100</v>
      </c>
      <c r="I789" s="3" t="s">
        <v>592</v>
      </c>
      <c r="J789" s="135">
        <v>37253</v>
      </c>
      <c r="K789" s="90" t="s">
        <v>414</v>
      </c>
    </row>
    <row r="790" spans="1:11" ht="12.75">
      <c r="A790" s="85">
        <v>2.5</v>
      </c>
      <c r="B790" s="85">
        <v>55.5</v>
      </c>
      <c r="C790" s="85">
        <v>25</v>
      </c>
      <c r="D790" s="85">
        <v>55.5</v>
      </c>
      <c r="E790" s="85">
        <v>34</v>
      </c>
      <c r="F790" s="6" t="s">
        <v>1387</v>
      </c>
      <c r="G790" s="6"/>
      <c r="H790" s="6">
        <v>110</v>
      </c>
      <c r="I790" s="3" t="s">
        <v>594</v>
      </c>
      <c r="J790" s="135">
        <v>37253</v>
      </c>
      <c r="K790" s="90" t="s">
        <v>414</v>
      </c>
    </row>
    <row r="791" spans="1:11" ht="12.75">
      <c r="A791" s="85">
        <v>2.5</v>
      </c>
      <c r="B791" s="85">
        <v>56</v>
      </c>
      <c r="C791" s="85">
        <v>36</v>
      </c>
      <c r="D791" s="85">
        <v>56</v>
      </c>
      <c r="E791" s="85">
        <v>20</v>
      </c>
      <c r="F791" s="6" t="s">
        <v>1574</v>
      </c>
      <c r="G791" s="45"/>
      <c r="H791" s="6">
        <v>135</v>
      </c>
      <c r="I791" s="3" t="s">
        <v>565</v>
      </c>
      <c r="J791" s="135">
        <v>37254</v>
      </c>
      <c r="K791" s="90" t="s">
        <v>414</v>
      </c>
    </row>
    <row r="792" spans="1:11" ht="12.75">
      <c r="A792" s="85">
        <v>2.5</v>
      </c>
      <c r="B792" s="85">
        <v>56</v>
      </c>
      <c r="C792" s="85">
        <v>31</v>
      </c>
      <c r="D792" s="85">
        <v>56</v>
      </c>
      <c r="E792" s="85">
        <v>20</v>
      </c>
      <c r="F792" s="6" t="s">
        <v>1574</v>
      </c>
      <c r="G792" s="45"/>
      <c r="H792" s="6">
        <v>135</v>
      </c>
      <c r="I792" s="3" t="s">
        <v>554</v>
      </c>
      <c r="J792" s="135">
        <v>37254</v>
      </c>
      <c r="K792" s="90" t="s">
        <v>414</v>
      </c>
    </row>
    <row r="793" spans="1:10" ht="12.75">
      <c r="A793" s="85">
        <v>2.4</v>
      </c>
      <c r="B793" s="85">
        <v>41</v>
      </c>
      <c r="C793" s="85">
        <v>39</v>
      </c>
      <c r="D793" s="85">
        <v>54</v>
      </c>
      <c r="E793" s="85">
        <v>17</v>
      </c>
      <c r="F793" s="6" t="s">
        <v>1574</v>
      </c>
      <c r="G793" s="45">
        <v>8</v>
      </c>
      <c r="H793" s="6">
        <v>130</v>
      </c>
      <c r="I793" s="3" t="s">
        <v>394</v>
      </c>
      <c r="J793" s="17"/>
    </row>
    <row r="794" spans="1:10" ht="12.75">
      <c r="A794" s="85">
        <v>2.4</v>
      </c>
      <c r="B794" s="85">
        <v>41</v>
      </c>
      <c r="C794" s="85">
        <v>37</v>
      </c>
      <c r="D794" s="85">
        <v>54</v>
      </c>
      <c r="E794" s="85">
        <v>20</v>
      </c>
      <c r="F794" s="6" t="s">
        <v>1574</v>
      </c>
      <c r="G794" s="45">
        <v>8</v>
      </c>
      <c r="H794" s="6">
        <v>135</v>
      </c>
      <c r="I794" s="3" t="s">
        <v>394</v>
      </c>
      <c r="J794" s="17"/>
    </row>
    <row r="795" spans="1:10" ht="12.75">
      <c r="A795" s="85">
        <v>2.3</v>
      </c>
      <c r="B795" s="85">
        <v>35.6</v>
      </c>
      <c r="C795" s="85">
        <v>34</v>
      </c>
      <c r="D795" s="85">
        <v>35.6</v>
      </c>
      <c r="E795" s="85">
        <v>34</v>
      </c>
      <c r="F795" s="6" t="s">
        <v>1387</v>
      </c>
      <c r="G795" s="6"/>
      <c r="H795" s="6">
        <v>100</v>
      </c>
      <c r="I795" s="3" t="s">
        <v>1553</v>
      </c>
      <c r="J795" s="17"/>
    </row>
    <row r="796" spans="1:11" ht="12.75">
      <c r="A796" s="85">
        <v>2.5</v>
      </c>
      <c r="B796" s="85">
        <v>36</v>
      </c>
      <c r="C796" s="85">
        <v>36</v>
      </c>
      <c r="D796" s="85">
        <v>36</v>
      </c>
      <c r="E796" s="85">
        <v>36</v>
      </c>
      <c r="F796" s="6" t="s">
        <v>1387</v>
      </c>
      <c r="G796" s="6"/>
      <c r="H796" s="6">
        <v>100</v>
      </c>
      <c r="I796" s="3" t="s">
        <v>590</v>
      </c>
      <c r="J796" s="135">
        <v>37253</v>
      </c>
      <c r="K796" s="90" t="s">
        <v>414</v>
      </c>
    </row>
    <row r="797" spans="1:10" ht="12.75">
      <c r="A797" s="85">
        <v>2.4</v>
      </c>
      <c r="B797" s="85">
        <v>78</v>
      </c>
      <c r="C797" s="85">
        <v>36.2</v>
      </c>
      <c r="D797" s="85">
        <v>66</v>
      </c>
      <c r="E797" s="85">
        <v>16.7</v>
      </c>
      <c r="F797" s="6" t="s">
        <v>1574</v>
      </c>
      <c r="G797" s="50" t="s">
        <v>1577</v>
      </c>
      <c r="H797" s="6">
        <v>130</v>
      </c>
      <c r="I797" s="3" t="s">
        <v>395</v>
      </c>
      <c r="J797" s="17"/>
    </row>
    <row r="798" spans="1:11" ht="12.75">
      <c r="A798" s="85">
        <v>2.5</v>
      </c>
      <c r="B798" s="85">
        <v>51.6</v>
      </c>
      <c r="C798" s="85">
        <v>42</v>
      </c>
      <c r="D798" s="85">
        <v>51.6</v>
      </c>
      <c r="E798" s="85">
        <v>42</v>
      </c>
      <c r="F798" s="6" t="s">
        <v>1387</v>
      </c>
      <c r="G798" s="6"/>
      <c r="H798" s="6">
        <v>100</v>
      </c>
      <c r="I798" s="3" t="s">
        <v>596</v>
      </c>
      <c r="J798" s="135">
        <v>37253</v>
      </c>
      <c r="K798" s="90" t="s">
        <v>414</v>
      </c>
    </row>
    <row r="799" spans="1:10" ht="12.75">
      <c r="A799" s="85">
        <v>2.3</v>
      </c>
      <c r="B799" s="85">
        <v>32</v>
      </c>
      <c r="C799" s="85">
        <v>34</v>
      </c>
      <c r="D799" s="85">
        <v>32</v>
      </c>
      <c r="E799" s="85">
        <v>34</v>
      </c>
      <c r="F799" s="6" t="s">
        <v>1387</v>
      </c>
      <c r="G799" s="6"/>
      <c r="H799" s="6">
        <v>100</v>
      </c>
      <c r="I799" s="7" t="s">
        <v>1554</v>
      </c>
      <c r="J799" s="17"/>
    </row>
    <row r="800" spans="1:10" ht="12.75">
      <c r="A800" s="85">
        <v>2.3</v>
      </c>
      <c r="B800" s="85">
        <v>32</v>
      </c>
      <c r="C800" s="85">
        <v>34</v>
      </c>
      <c r="D800" s="85">
        <v>43.5</v>
      </c>
      <c r="E800" s="85">
        <v>21</v>
      </c>
      <c r="F800" s="6" t="s">
        <v>1574</v>
      </c>
      <c r="G800" s="6">
        <v>8</v>
      </c>
      <c r="H800" s="6">
        <v>130</v>
      </c>
      <c r="I800" s="7" t="s">
        <v>398</v>
      </c>
      <c r="J800" s="17"/>
    </row>
    <row r="801" spans="1:10" ht="12.75">
      <c r="A801" s="85">
        <v>2.3</v>
      </c>
      <c r="B801" s="85">
        <v>43.5</v>
      </c>
      <c r="C801" s="85">
        <v>34</v>
      </c>
      <c r="D801" s="85">
        <v>43.5</v>
      </c>
      <c r="E801" s="85">
        <v>21</v>
      </c>
      <c r="F801" s="6" t="s">
        <v>1574</v>
      </c>
      <c r="G801" s="6">
        <v>8</v>
      </c>
      <c r="H801" s="6">
        <v>130</v>
      </c>
      <c r="I801" s="7" t="s">
        <v>399</v>
      </c>
      <c r="J801" s="17"/>
    </row>
    <row r="802" spans="1:11" ht="12.75">
      <c r="A802" s="85">
        <v>2.6</v>
      </c>
      <c r="B802" s="85">
        <v>81</v>
      </c>
      <c r="C802" s="85">
        <v>28</v>
      </c>
      <c r="D802" s="85">
        <v>81</v>
      </c>
      <c r="E802" s="85">
        <v>28</v>
      </c>
      <c r="F802" s="6" t="s">
        <v>1387</v>
      </c>
      <c r="G802" s="6"/>
      <c r="H802" s="6"/>
      <c r="I802" s="7" t="s">
        <v>597</v>
      </c>
      <c r="J802" s="135">
        <v>37253</v>
      </c>
      <c r="K802" s="90" t="s">
        <v>414</v>
      </c>
    </row>
    <row r="803" spans="1:10" ht="12.75">
      <c r="A803" s="85">
        <v>2.4</v>
      </c>
      <c r="B803" s="85">
        <v>44</v>
      </c>
      <c r="C803" s="85">
        <v>32</v>
      </c>
      <c r="D803" s="85">
        <v>44</v>
      </c>
      <c r="E803" s="85">
        <v>32</v>
      </c>
      <c r="F803" s="6" t="s">
        <v>1574</v>
      </c>
      <c r="G803" s="6"/>
      <c r="H803" s="6"/>
      <c r="I803" s="3" t="s">
        <v>400</v>
      </c>
      <c r="J803" s="17"/>
    </row>
    <row r="804" spans="1:10" ht="12.75">
      <c r="A804" s="85">
        <v>2.4</v>
      </c>
      <c r="B804" s="85">
        <v>38</v>
      </c>
      <c r="C804" s="85">
        <v>40</v>
      </c>
      <c r="D804" s="85">
        <v>38</v>
      </c>
      <c r="E804" s="85">
        <v>40</v>
      </c>
      <c r="F804" s="6" t="s">
        <v>1387</v>
      </c>
      <c r="G804" s="6"/>
      <c r="H804" s="6">
        <v>100</v>
      </c>
      <c r="I804" s="3" t="s">
        <v>1555</v>
      </c>
      <c r="J804" s="17"/>
    </row>
    <row r="805" spans="1:10" ht="12.75">
      <c r="A805" s="85">
        <v>2.4</v>
      </c>
      <c r="B805" s="85">
        <v>44</v>
      </c>
      <c r="C805" s="85">
        <v>35</v>
      </c>
      <c r="D805" s="85">
        <v>44</v>
      </c>
      <c r="E805" s="85">
        <v>20</v>
      </c>
      <c r="F805" s="6" t="s">
        <v>1574</v>
      </c>
      <c r="G805" s="6"/>
      <c r="H805" s="6">
        <v>130</v>
      </c>
      <c r="I805" s="3" t="s">
        <v>401</v>
      </c>
      <c r="J805" s="17"/>
    </row>
    <row r="806" spans="1:10" ht="12.75">
      <c r="A806" s="85">
        <v>2.4</v>
      </c>
      <c r="B806" s="85">
        <v>54</v>
      </c>
      <c r="C806" s="85">
        <v>34.3</v>
      </c>
      <c r="D806" s="85">
        <v>54</v>
      </c>
      <c r="E806" s="85">
        <v>20.1</v>
      </c>
      <c r="F806" s="6" t="s">
        <v>1574</v>
      </c>
      <c r="G806" s="6">
        <v>8</v>
      </c>
      <c r="H806" s="6">
        <v>130</v>
      </c>
      <c r="I806" s="3" t="s">
        <v>402</v>
      </c>
      <c r="J806" s="17"/>
    </row>
    <row r="807" spans="1:11" ht="12.75">
      <c r="A807" s="85">
        <v>2.5</v>
      </c>
      <c r="B807" s="85">
        <f>41-4</f>
        <v>37</v>
      </c>
      <c r="C807" s="85">
        <f>130/2-29</f>
        <v>36</v>
      </c>
      <c r="D807" s="85">
        <f>58.5-4</f>
        <v>54.5</v>
      </c>
      <c r="E807" s="85">
        <f>130/2-46.28</f>
        <v>18.72</v>
      </c>
      <c r="F807" s="6" t="s">
        <v>1574</v>
      </c>
      <c r="G807" s="6">
        <v>9</v>
      </c>
      <c r="H807" s="6">
        <v>130</v>
      </c>
      <c r="I807" s="3" t="s">
        <v>647</v>
      </c>
      <c r="J807" s="136">
        <v>38347</v>
      </c>
      <c r="K807" s="90" t="s">
        <v>158</v>
      </c>
    </row>
    <row r="808" spans="1:10" ht="12.75">
      <c r="A808" s="85">
        <v>2.4</v>
      </c>
      <c r="B808" s="85">
        <v>54</v>
      </c>
      <c r="C808" s="85">
        <v>34.5</v>
      </c>
      <c r="D808" s="85">
        <v>54</v>
      </c>
      <c r="E808" s="85">
        <v>21.5</v>
      </c>
      <c r="F808" s="6" t="s">
        <v>1574</v>
      </c>
      <c r="G808" s="6"/>
      <c r="H808" s="6">
        <v>135</v>
      </c>
      <c r="I808" s="3" t="s">
        <v>402</v>
      </c>
      <c r="J808" s="17"/>
    </row>
    <row r="809" spans="1:11" ht="12.75">
      <c r="A809" s="85">
        <v>2.6</v>
      </c>
      <c r="B809" s="85">
        <v>74</v>
      </c>
      <c r="C809" s="85">
        <v>21</v>
      </c>
      <c r="D809" s="85">
        <v>74</v>
      </c>
      <c r="E809" s="85">
        <v>32</v>
      </c>
      <c r="F809" s="6" t="s">
        <v>1387</v>
      </c>
      <c r="G809" s="6"/>
      <c r="H809" s="6">
        <v>100</v>
      </c>
      <c r="I809" s="3" t="s">
        <v>598</v>
      </c>
      <c r="J809" s="135">
        <v>37253</v>
      </c>
      <c r="K809" s="90" t="s">
        <v>414</v>
      </c>
    </row>
    <row r="810" spans="1:11" ht="25.5">
      <c r="A810" s="85">
        <v>2.5</v>
      </c>
      <c r="B810" s="85">
        <v>48</v>
      </c>
      <c r="C810" s="85">
        <v>32</v>
      </c>
      <c r="D810" s="85">
        <v>48</v>
      </c>
      <c r="E810" s="85">
        <v>32</v>
      </c>
      <c r="F810" s="6" t="s">
        <v>1574</v>
      </c>
      <c r="G810" s="6">
        <v>1</v>
      </c>
      <c r="H810" s="103" t="s">
        <v>1151</v>
      </c>
      <c r="I810" s="93" t="s">
        <v>1342</v>
      </c>
      <c r="J810" s="135">
        <v>37728</v>
      </c>
      <c r="K810" s="102" t="s">
        <v>1147</v>
      </c>
    </row>
    <row r="811" spans="1:11" ht="12.75">
      <c r="A811" s="85">
        <v>2.6</v>
      </c>
      <c r="B811" s="85">
        <v>67</v>
      </c>
      <c r="C811" s="85">
        <v>36</v>
      </c>
      <c r="D811" s="85">
        <v>67</v>
      </c>
      <c r="E811" s="85">
        <v>21</v>
      </c>
      <c r="F811" s="6" t="s">
        <v>1574</v>
      </c>
      <c r="G811" s="6"/>
      <c r="H811" s="6">
        <v>135</v>
      </c>
      <c r="I811" s="3" t="s">
        <v>566</v>
      </c>
      <c r="J811" s="135">
        <v>37254</v>
      </c>
      <c r="K811" s="90" t="s">
        <v>414</v>
      </c>
    </row>
    <row r="812" spans="1:11" ht="12.75">
      <c r="A812" s="85">
        <v>2.6</v>
      </c>
      <c r="B812" s="85">
        <v>75</v>
      </c>
      <c r="C812" s="85">
        <v>22</v>
      </c>
      <c r="D812" s="85">
        <v>75</v>
      </c>
      <c r="E812" s="85">
        <v>35</v>
      </c>
      <c r="F812" s="6" t="s">
        <v>1387</v>
      </c>
      <c r="G812" s="6"/>
      <c r="H812" s="6">
        <v>110</v>
      </c>
      <c r="I812" s="3" t="s">
        <v>599</v>
      </c>
      <c r="J812" s="135">
        <v>37253</v>
      </c>
      <c r="K812" s="90" t="s">
        <v>414</v>
      </c>
    </row>
    <row r="813" spans="1:10" ht="12.75">
      <c r="A813" s="85">
        <v>2.3</v>
      </c>
      <c r="B813" s="85">
        <v>34</v>
      </c>
      <c r="C813" s="85">
        <v>38</v>
      </c>
      <c r="D813" s="85">
        <v>34</v>
      </c>
      <c r="E813" s="85">
        <v>38</v>
      </c>
      <c r="F813" s="6" t="s">
        <v>1387</v>
      </c>
      <c r="G813" s="6"/>
      <c r="H813" s="6">
        <v>100</v>
      </c>
      <c r="I813" s="7" t="s">
        <v>1556</v>
      </c>
      <c r="J813" s="17"/>
    </row>
    <row r="814" spans="1:10" ht="12.75">
      <c r="A814" s="85">
        <v>2.4</v>
      </c>
      <c r="B814" s="85">
        <v>34</v>
      </c>
      <c r="C814" s="85">
        <v>35.5</v>
      </c>
      <c r="D814" s="85">
        <v>34</v>
      </c>
      <c r="E814" s="85">
        <v>35.5</v>
      </c>
      <c r="F814" s="6" t="s">
        <v>1387</v>
      </c>
      <c r="G814" s="6"/>
      <c r="H814" s="6">
        <v>100</v>
      </c>
      <c r="I814" s="3" t="s">
        <v>1557</v>
      </c>
      <c r="J814" s="17"/>
    </row>
    <row r="815" spans="1:10" ht="12.75">
      <c r="A815" s="85">
        <v>2.4</v>
      </c>
      <c r="B815" s="85">
        <v>54</v>
      </c>
      <c r="C815" s="85">
        <v>29.5</v>
      </c>
      <c r="D815" s="85">
        <v>54</v>
      </c>
      <c r="E815" s="85">
        <v>24.5</v>
      </c>
      <c r="F815" s="6" t="s">
        <v>1574</v>
      </c>
      <c r="G815" s="6">
        <v>6</v>
      </c>
      <c r="H815" s="6">
        <v>126</v>
      </c>
      <c r="I815" s="3" t="s">
        <v>1557</v>
      </c>
      <c r="J815" s="17"/>
    </row>
    <row r="816" spans="1:10" ht="12.75">
      <c r="A816" s="85">
        <v>2.4</v>
      </c>
      <c r="B816" s="85">
        <v>54</v>
      </c>
      <c r="C816" s="85">
        <v>37</v>
      </c>
      <c r="D816" s="85">
        <v>54</v>
      </c>
      <c r="E816" s="85">
        <v>19</v>
      </c>
      <c r="F816" s="6" t="s">
        <v>1574</v>
      </c>
      <c r="G816" s="6">
        <v>7</v>
      </c>
      <c r="H816" s="6">
        <v>126</v>
      </c>
      <c r="I816" s="3" t="s">
        <v>1557</v>
      </c>
      <c r="J816" s="17"/>
    </row>
    <row r="817" spans="1:10" ht="12.75">
      <c r="A817" s="85">
        <v>2.4</v>
      </c>
      <c r="B817" s="85">
        <v>54</v>
      </c>
      <c r="C817" s="85">
        <v>27</v>
      </c>
      <c r="D817" s="85">
        <v>54</v>
      </c>
      <c r="E817" s="85">
        <v>27</v>
      </c>
      <c r="F817" s="6" t="s">
        <v>1574</v>
      </c>
      <c r="G817" s="6">
        <v>6</v>
      </c>
      <c r="H817" s="6">
        <v>130</v>
      </c>
      <c r="I817" s="3" t="s">
        <v>1557</v>
      </c>
      <c r="J817" s="17"/>
    </row>
    <row r="818" spans="1:10" ht="12.75">
      <c r="A818" s="85">
        <v>2.4</v>
      </c>
      <c r="B818" s="85">
        <v>54</v>
      </c>
      <c r="C818" s="85">
        <v>32</v>
      </c>
      <c r="D818" s="85">
        <v>54</v>
      </c>
      <c r="E818" s="85">
        <v>22</v>
      </c>
      <c r="F818" s="6" t="s">
        <v>1574</v>
      </c>
      <c r="G818" s="6">
        <v>7</v>
      </c>
      <c r="H818" s="6">
        <v>130</v>
      </c>
      <c r="I818" s="3" t="s">
        <v>1557</v>
      </c>
      <c r="J818" s="17"/>
    </row>
    <row r="819" spans="1:10" ht="12.75">
      <c r="A819" s="85">
        <v>2.4</v>
      </c>
      <c r="B819" s="85">
        <v>54</v>
      </c>
      <c r="C819" s="85">
        <v>36</v>
      </c>
      <c r="D819" s="85">
        <v>54</v>
      </c>
      <c r="E819" s="85">
        <v>18</v>
      </c>
      <c r="F819" s="6" t="s">
        <v>1574</v>
      </c>
      <c r="G819" s="6">
        <v>8</v>
      </c>
      <c r="H819" s="6">
        <v>130</v>
      </c>
      <c r="I819" s="3" t="s">
        <v>1557</v>
      </c>
      <c r="J819" s="17"/>
    </row>
    <row r="820" spans="1:10" ht="12.75">
      <c r="A820" s="85">
        <v>2.4</v>
      </c>
      <c r="B820" s="85">
        <v>54</v>
      </c>
      <c r="C820" s="85">
        <v>29</v>
      </c>
      <c r="D820" s="85">
        <v>54</v>
      </c>
      <c r="E820" s="85">
        <v>25</v>
      </c>
      <c r="F820" s="6" t="s">
        <v>1574</v>
      </c>
      <c r="G820" s="6">
        <v>7</v>
      </c>
      <c r="H820" s="6">
        <v>135</v>
      </c>
      <c r="I820" s="3" t="s">
        <v>1557</v>
      </c>
      <c r="J820" s="17"/>
    </row>
    <row r="821" spans="1:10" ht="12.75">
      <c r="A821" s="85">
        <v>2.4</v>
      </c>
      <c r="B821" s="85">
        <v>54</v>
      </c>
      <c r="C821" s="85">
        <v>34</v>
      </c>
      <c r="D821" s="85">
        <v>54</v>
      </c>
      <c r="E821" s="85">
        <v>20</v>
      </c>
      <c r="F821" s="6" t="s">
        <v>1574</v>
      </c>
      <c r="G821" s="6">
        <v>8</v>
      </c>
      <c r="H821" s="6">
        <v>135</v>
      </c>
      <c r="I821" s="3" t="s">
        <v>1557</v>
      </c>
      <c r="J821" s="17"/>
    </row>
    <row r="822" spans="1:10" ht="12.75">
      <c r="A822" s="85">
        <v>2.4</v>
      </c>
      <c r="B822" s="85">
        <v>40</v>
      </c>
      <c r="C822" s="85">
        <v>35.5</v>
      </c>
      <c r="D822" s="85">
        <v>40</v>
      </c>
      <c r="E822" s="85">
        <v>35.5</v>
      </c>
      <c r="F822" s="6" t="s">
        <v>1387</v>
      </c>
      <c r="G822" s="6"/>
      <c r="H822" s="6">
        <v>100</v>
      </c>
      <c r="I822" s="3" t="s">
        <v>1558</v>
      </c>
      <c r="J822" s="17"/>
    </row>
    <row r="823" spans="1:10" ht="12.75">
      <c r="A823" s="85">
        <v>2.4</v>
      </c>
      <c r="B823" s="85">
        <v>59</v>
      </c>
      <c r="C823" s="85">
        <v>27</v>
      </c>
      <c r="D823" s="85">
        <v>59</v>
      </c>
      <c r="E823" s="85">
        <v>27</v>
      </c>
      <c r="F823" s="6" t="s">
        <v>1574</v>
      </c>
      <c r="G823" s="6">
        <v>7</v>
      </c>
      <c r="H823" s="6">
        <v>136</v>
      </c>
      <c r="I823" s="4" t="s">
        <v>403</v>
      </c>
      <c r="J823" s="17"/>
    </row>
    <row r="824" spans="1:10" ht="12.75">
      <c r="A824" s="85">
        <v>2.4</v>
      </c>
      <c r="B824" s="85">
        <v>59</v>
      </c>
      <c r="C824" s="85">
        <v>24.5</v>
      </c>
      <c r="D824" s="85">
        <v>59</v>
      </c>
      <c r="E824" s="85">
        <v>29.5</v>
      </c>
      <c r="F824" s="6" t="s">
        <v>1574</v>
      </c>
      <c r="G824" s="6">
        <v>7</v>
      </c>
      <c r="H824" s="6">
        <v>141</v>
      </c>
      <c r="I824" s="4" t="s">
        <v>403</v>
      </c>
      <c r="J824" s="17"/>
    </row>
    <row r="825" spans="1:10" ht="12.75">
      <c r="A825" s="85">
        <v>2.4</v>
      </c>
      <c r="B825" s="85">
        <v>47</v>
      </c>
      <c r="C825" s="85">
        <v>36</v>
      </c>
      <c r="D825" s="85">
        <v>47</v>
      </c>
      <c r="E825" s="85">
        <v>36</v>
      </c>
      <c r="F825" s="6" t="s">
        <v>1387</v>
      </c>
      <c r="G825" s="6"/>
      <c r="H825" s="6">
        <v>100</v>
      </c>
      <c r="I825" s="3" t="s">
        <v>1559</v>
      </c>
      <c r="J825" s="17"/>
    </row>
    <row r="826" spans="1:10" ht="12.75">
      <c r="A826" s="85">
        <v>2.4</v>
      </c>
      <c r="B826" s="85">
        <v>47</v>
      </c>
      <c r="C826" s="85">
        <v>39</v>
      </c>
      <c r="D826" s="85">
        <v>47</v>
      </c>
      <c r="E826" s="85">
        <v>39</v>
      </c>
      <c r="F826" s="6" t="s">
        <v>1387</v>
      </c>
      <c r="G826" s="6"/>
      <c r="H826" s="6">
        <v>100</v>
      </c>
      <c r="I826" s="3" t="s">
        <v>1560</v>
      </c>
      <c r="J826" s="17"/>
    </row>
    <row r="827" spans="1:10" ht="12.75">
      <c r="A827" s="85">
        <v>2.4</v>
      </c>
      <c r="B827" s="85">
        <v>47</v>
      </c>
      <c r="C827" s="85">
        <v>45</v>
      </c>
      <c r="D827" s="85">
        <v>47</v>
      </c>
      <c r="E827" s="85">
        <v>45</v>
      </c>
      <c r="F827" s="6" t="s">
        <v>1387</v>
      </c>
      <c r="G827" s="6"/>
      <c r="H827" s="6">
        <v>100</v>
      </c>
      <c r="I827" s="3" t="s">
        <v>1563</v>
      </c>
      <c r="J827" s="17"/>
    </row>
    <row r="828" spans="1:10" ht="12.75">
      <c r="A828" s="85">
        <v>2.4</v>
      </c>
      <c r="B828" s="85">
        <v>40</v>
      </c>
      <c r="C828" s="85">
        <v>34.5</v>
      </c>
      <c r="D828" s="85">
        <v>40</v>
      </c>
      <c r="E828" s="85">
        <v>34.5</v>
      </c>
      <c r="F828" s="6" t="s">
        <v>1387</v>
      </c>
      <c r="G828" s="6"/>
      <c r="H828" s="6">
        <v>100</v>
      </c>
      <c r="I828" s="3" t="s">
        <v>1564</v>
      </c>
      <c r="J828" s="17"/>
    </row>
    <row r="829" spans="1:10" ht="12.75">
      <c r="A829" s="85">
        <v>2.4</v>
      </c>
      <c r="B829" s="85">
        <v>45</v>
      </c>
      <c r="C829" s="85">
        <v>39</v>
      </c>
      <c r="D829" s="85">
        <v>45</v>
      </c>
      <c r="E829" s="85">
        <v>39</v>
      </c>
      <c r="F829" s="6" t="s">
        <v>1387</v>
      </c>
      <c r="G829" s="6"/>
      <c r="H829" s="6">
        <v>100</v>
      </c>
      <c r="I829" s="3" t="s">
        <v>1567</v>
      </c>
      <c r="J829" s="17"/>
    </row>
    <row r="830" spans="1:10" ht="12.75">
      <c r="A830" s="85">
        <v>2.4</v>
      </c>
      <c r="B830" s="85">
        <v>42.5</v>
      </c>
      <c r="C830" s="85">
        <v>39</v>
      </c>
      <c r="D830" s="85">
        <v>42.5</v>
      </c>
      <c r="E830" s="85">
        <v>39</v>
      </c>
      <c r="F830" s="6" t="s">
        <v>1387</v>
      </c>
      <c r="G830" s="6"/>
      <c r="H830" s="6">
        <v>100</v>
      </c>
      <c r="I830" s="3" t="s">
        <v>1568</v>
      </c>
      <c r="J830" s="17"/>
    </row>
    <row r="831" spans="1:10" ht="12.75">
      <c r="A831" s="85">
        <v>2.4</v>
      </c>
      <c r="B831" s="87">
        <v>36</v>
      </c>
      <c r="C831" s="85">
        <v>35</v>
      </c>
      <c r="D831" s="85">
        <v>36</v>
      </c>
      <c r="E831" s="85">
        <v>35</v>
      </c>
      <c r="F831" s="6" t="s">
        <v>1387</v>
      </c>
      <c r="G831" s="6"/>
      <c r="H831" s="6">
        <v>100</v>
      </c>
      <c r="I831" s="3" t="s">
        <v>1569</v>
      </c>
      <c r="J831" s="17"/>
    </row>
    <row r="832" spans="1:10" ht="12.75">
      <c r="A832" s="85">
        <v>2.4</v>
      </c>
      <c r="B832" s="85">
        <v>41.5</v>
      </c>
      <c r="C832" s="85">
        <v>36</v>
      </c>
      <c r="D832" s="85">
        <v>41.5</v>
      </c>
      <c r="E832" s="85">
        <v>20.5</v>
      </c>
      <c r="F832" s="6" t="s">
        <v>1574</v>
      </c>
      <c r="G832" s="6"/>
      <c r="H832" s="6">
        <v>135</v>
      </c>
      <c r="I832" s="3" t="s">
        <v>404</v>
      </c>
      <c r="J832" s="17"/>
    </row>
    <row r="833" spans="1:11" ht="12.75">
      <c r="A833" s="85">
        <v>2.5</v>
      </c>
      <c r="B833" s="85">
        <v>58</v>
      </c>
      <c r="C833" s="85">
        <v>16</v>
      </c>
      <c r="D833" s="85">
        <v>58</v>
      </c>
      <c r="E833" s="85">
        <v>35</v>
      </c>
      <c r="F833" s="6" t="s">
        <v>1387</v>
      </c>
      <c r="G833" s="6"/>
      <c r="H833" s="6"/>
      <c r="I833" s="3" t="s">
        <v>1484</v>
      </c>
      <c r="J833" s="135">
        <v>37319</v>
      </c>
      <c r="K833" s="90" t="s">
        <v>1485</v>
      </c>
    </row>
    <row r="834" spans="1:10" ht="12.75">
      <c r="A834" s="85">
        <v>2.4</v>
      </c>
      <c r="B834" s="85">
        <v>59</v>
      </c>
      <c r="C834" s="85">
        <v>30</v>
      </c>
      <c r="D834" s="85">
        <v>59</v>
      </c>
      <c r="E834" s="85">
        <v>25</v>
      </c>
      <c r="F834" s="6" t="s">
        <v>1574</v>
      </c>
      <c r="G834" s="6">
        <v>7</v>
      </c>
      <c r="H834" s="6">
        <v>131</v>
      </c>
      <c r="I834" s="3" t="s">
        <v>405</v>
      </c>
      <c r="J834" s="17"/>
    </row>
    <row r="835" spans="1:10" ht="12.75">
      <c r="A835" s="85">
        <v>2.4</v>
      </c>
      <c r="B835" s="85">
        <v>59</v>
      </c>
      <c r="C835" s="85">
        <v>28</v>
      </c>
      <c r="D835" s="85">
        <v>59</v>
      </c>
      <c r="E835" s="85">
        <v>27</v>
      </c>
      <c r="F835" s="6" t="s">
        <v>1574</v>
      </c>
      <c r="G835" s="6">
        <v>7</v>
      </c>
      <c r="H835" s="6">
        <v>136</v>
      </c>
      <c r="I835" s="3" t="s">
        <v>405</v>
      </c>
      <c r="J835" s="17"/>
    </row>
    <row r="836" spans="1:10" ht="12.75">
      <c r="A836" s="85">
        <v>2.4</v>
      </c>
      <c r="B836" s="85">
        <v>59</v>
      </c>
      <c r="C836" s="85">
        <v>31.5</v>
      </c>
      <c r="D836" s="85">
        <v>59</v>
      </c>
      <c r="E836" s="85">
        <v>23.5</v>
      </c>
      <c r="F836" s="6" t="s">
        <v>1574</v>
      </c>
      <c r="G836" s="6">
        <v>8</v>
      </c>
      <c r="H836" s="6">
        <v>136</v>
      </c>
      <c r="I836" s="3" t="s">
        <v>406</v>
      </c>
      <c r="J836" s="17"/>
    </row>
    <row r="837" spans="1:10" ht="12.75">
      <c r="A837" s="85">
        <v>2.4</v>
      </c>
      <c r="B837" s="85">
        <v>59</v>
      </c>
      <c r="C837" s="85">
        <v>27.5</v>
      </c>
      <c r="D837" s="85">
        <v>59</v>
      </c>
      <c r="E837" s="85">
        <v>27.5</v>
      </c>
      <c r="F837" s="6" t="s">
        <v>1574</v>
      </c>
      <c r="G837" s="6">
        <v>8</v>
      </c>
      <c r="H837" s="6">
        <v>141</v>
      </c>
      <c r="I837" s="3" t="s">
        <v>406</v>
      </c>
      <c r="J837" s="17"/>
    </row>
    <row r="838" spans="1:10" ht="12.75">
      <c r="A838" s="85">
        <v>2.4</v>
      </c>
      <c r="B838" s="85">
        <v>45</v>
      </c>
      <c r="C838" s="85">
        <v>31</v>
      </c>
      <c r="D838" s="85">
        <v>45</v>
      </c>
      <c r="E838" s="85">
        <v>25</v>
      </c>
      <c r="F838" s="6" t="s">
        <v>1574</v>
      </c>
      <c r="G838" s="6">
        <v>7</v>
      </c>
      <c r="H838" s="6">
        <v>135</v>
      </c>
      <c r="I838" s="3" t="s">
        <v>408</v>
      </c>
      <c r="J838" s="17"/>
    </row>
    <row r="839" spans="1:10" ht="12.75">
      <c r="A839" s="85">
        <v>2.4</v>
      </c>
      <c r="B839" s="85">
        <v>45</v>
      </c>
      <c r="C839" s="85">
        <v>38.5</v>
      </c>
      <c r="D839" s="85">
        <v>45</v>
      </c>
      <c r="E839" s="85">
        <v>27.5</v>
      </c>
      <c r="F839" s="6" t="s">
        <v>1574</v>
      </c>
      <c r="G839" s="6">
        <v>7</v>
      </c>
      <c r="H839" s="6">
        <v>140</v>
      </c>
      <c r="I839" s="3" t="s">
        <v>408</v>
      </c>
      <c r="J839" s="17"/>
    </row>
    <row r="840" spans="1:10" ht="12.75">
      <c r="A840" s="85">
        <v>2.4</v>
      </c>
      <c r="B840" s="85">
        <v>45</v>
      </c>
      <c r="C840" s="85">
        <v>33</v>
      </c>
      <c r="D840" s="85">
        <v>45</v>
      </c>
      <c r="E840" s="85">
        <v>23</v>
      </c>
      <c r="F840" s="6" t="s">
        <v>1574</v>
      </c>
      <c r="G840" s="6">
        <v>8</v>
      </c>
      <c r="H840" s="6">
        <v>136</v>
      </c>
      <c r="I840" s="3" t="s">
        <v>409</v>
      </c>
      <c r="J840" s="17"/>
    </row>
    <row r="841" spans="1:10" ht="12.75">
      <c r="A841" s="85">
        <v>2.4</v>
      </c>
      <c r="B841" s="85">
        <v>45</v>
      </c>
      <c r="C841" s="85">
        <v>35</v>
      </c>
      <c r="D841" s="85">
        <v>45</v>
      </c>
      <c r="E841" s="85">
        <v>21</v>
      </c>
      <c r="F841" s="6" t="s">
        <v>1574</v>
      </c>
      <c r="G841" s="6">
        <v>8</v>
      </c>
      <c r="H841" s="6">
        <v>139</v>
      </c>
      <c r="I841" s="3" t="s">
        <v>409</v>
      </c>
      <c r="J841" s="17"/>
    </row>
    <row r="842" spans="1:11" ht="12.75">
      <c r="A842" s="85">
        <v>2.6</v>
      </c>
      <c r="B842" s="85">
        <v>44</v>
      </c>
      <c r="C842" s="85">
        <v>35.3</v>
      </c>
      <c r="D842" s="85">
        <v>37</v>
      </c>
      <c r="E842" s="85">
        <v>19.1</v>
      </c>
      <c r="F842" s="6" t="s">
        <v>1574</v>
      </c>
      <c r="G842" s="6" t="s">
        <v>1577</v>
      </c>
      <c r="H842" s="6">
        <v>130</v>
      </c>
      <c r="I842" s="3" t="s">
        <v>1053</v>
      </c>
      <c r="J842" s="135">
        <v>38025</v>
      </c>
      <c r="K842" s="90" t="s">
        <v>158</v>
      </c>
    </row>
    <row r="843" spans="1:11" ht="12.75">
      <c r="A843" s="85">
        <v>2.8</v>
      </c>
      <c r="B843" s="85">
        <v>38</v>
      </c>
      <c r="C843" s="85">
        <v>35</v>
      </c>
      <c r="D843" s="85">
        <v>38</v>
      </c>
      <c r="E843" s="85">
        <v>35</v>
      </c>
      <c r="F843" s="6" t="s">
        <v>1387</v>
      </c>
      <c r="G843" s="6"/>
      <c r="H843" s="6">
        <v>100</v>
      </c>
      <c r="I843" s="3" t="s">
        <v>601</v>
      </c>
      <c r="J843" s="135">
        <v>37253</v>
      </c>
      <c r="K843" s="90" t="s">
        <v>414</v>
      </c>
    </row>
    <row r="844" spans="1:11" ht="12.75">
      <c r="A844" s="85">
        <v>2.8</v>
      </c>
      <c r="B844" s="85">
        <v>45</v>
      </c>
      <c r="C844" s="85">
        <v>27</v>
      </c>
      <c r="D844" s="85">
        <v>45</v>
      </c>
      <c r="E844" s="85">
        <v>27</v>
      </c>
      <c r="F844" s="6" t="s">
        <v>1574</v>
      </c>
      <c r="G844" s="6">
        <v>1</v>
      </c>
      <c r="H844" s="6">
        <v>110</v>
      </c>
      <c r="I844" s="3" t="s">
        <v>601</v>
      </c>
      <c r="J844" s="135">
        <v>37254</v>
      </c>
      <c r="K844" s="90" t="s">
        <v>414</v>
      </c>
    </row>
    <row r="845" spans="1:11" ht="12.75">
      <c r="A845" s="85">
        <v>2.8</v>
      </c>
      <c r="B845" s="85">
        <v>63</v>
      </c>
      <c r="C845" s="85">
        <v>33</v>
      </c>
      <c r="D845" s="85">
        <v>63</v>
      </c>
      <c r="E845" s="85">
        <v>33</v>
      </c>
      <c r="F845" s="6" t="s">
        <v>1387</v>
      </c>
      <c r="G845" s="6"/>
      <c r="H845" s="6">
        <v>100</v>
      </c>
      <c r="I845" s="3" t="s">
        <v>600</v>
      </c>
      <c r="J845" s="135">
        <v>37253</v>
      </c>
      <c r="K845" s="90" t="s">
        <v>414</v>
      </c>
    </row>
    <row r="846" spans="1:11" ht="12.75">
      <c r="A846" s="85">
        <v>2.8</v>
      </c>
      <c r="B846" s="85">
        <v>63</v>
      </c>
      <c r="C846" s="85">
        <v>29</v>
      </c>
      <c r="D846" s="85">
        <v>63</v>
      </c>
      <c r="E846" s="85">
        <v>29</v>
      </c>
      <c r="F846" s="6" t="s">
        <v>1574</v>
      </c>
      <c r="G846" s="6">
        <v>1</v>
      </c>
      <c r="H846" s="6">
        <v>110</v>
      </c>
      <c r="I846" s="3" t="s">
        <v>600</v>
      </c>
      <c r="J846" s="135">
        <v>37254</v>
      </c>
      <c r="K846" s="90" t="s">
        <v>414</v>
      </c>
    </row>
    <row r="847" spans="1:10" ht="12.75">
      <c r="A847" s="85">
        <v>2.4</v>
      </c>
      <c r="B847" s="85">
        <v>43</v>
      </c>
      <c r="C847" s="85">
        <v>35</v>
      </c>
      <c r="D847" s="85">
        <v>43</v>
      </c>
      <c r="E847" s="85">
        <v>20</v>
      </c>
      <c r="F847" s="6" t="s">
        <v>1574</v>
      </c>
      <c r="G847" s="6">
        <v>8</v>
      </c>
      <c r="H847" s="6">
        <v>130</v>
      </c>
      <c r="I847" s="3" t="s">
        <v>410</v>
      </c>
      <c r="J847" s="17"/>
    </row>
    <row r="848" spans="1:10" ht="12.75">
      <c r="A848" s="85">
        <v>2.3</v>
      </c>
      <c r="B848" s="85">
        <v>43</v>
      </c>
      <c r="C848" s="85">
        <v>36</v>
      </c>
      <c r="D848" s="85">
        <v>43</v>
      </c>
      <c r="E848" s="85">
        <v>36</v>
      </c>
      <c r="F848" s="6" t="s">
        <v>1387</v>
      </c>
      <c r="G848" s="6"/>
      <c r="H848" s="6">
        <v>100</v>
      </c>
      <c r="I848" s="7" t="s">
        <v>1570</v>
      </c>
      <c r="J848" s="17"/>
    </row>
    <row r="849" spans="1:10" ht="12.75">
      <c r="A849" s="85">
        <v>2.3</v>
      </c>
      <c r="B849" s="85">
        <v>43</v>
      </c>
      <c r="C849" s="85">
        <v>37</v>
      </c>
      <c r="D849" s="85">
        <v>43</v>
      </c>
      <c r="E849" s="85">
        <v>20</v>
      </c>
      <c r="F849" s="6" t="s">
        <v>1574</v>
      </c>
      <c r="G849" s="6">
        <v>8</v>
      </c>
      <c r="H849" s="6">
        <v>130</v>
      </c>
      <c r="I849" s="7" t="s">
        <v>411</v>
      </c>
      <c r="J849" s="17"/>
    </row>
  </sheetData>
  <sheetProtection/>
  <hyperlinks>
    <hyperlink ref="K630" r:id="rId1" display="CaptBike@sheldonbrown.com"/>
    <hyperlink ref="K632" r:id="rId2" display="CaptBike@sheldonbrown.com"/>
    <hyperlink ref="K356" r:id="rId3" display="CaptBike@sheldonbrown.com"/>
    <hyperlink ref="K357" r:id="rId4" display="CaptBike@sheldonbrown.com"/>
    <hyperlink ref="K810" r:id="rId5" display="CaptBike@sheldonbrown.com"/>
    <hyperlink ref="K599" r:id="rId6" display="barsiantony@hotmail.com"/>
    <hyperlink ref="K601" r:id="rId7" display="barsiantony@hotmail.com"/>
    <hyperlink ref="K631" r:id="rId8" display="CaptBike@sheldonbrown.com"/>
    <hyperlink ref="K28" r:id="rId9" display="OKVELO@aol.com"/>
    <hyperlink ref="K666" r:id="rId10" display="www.shimano.com"/>
    <hyperlink ref="K657" r:id="rId11" display="info@m-gineering.nl"/>
  </hyperlinks>
  <printOptions gridLines="1"/>
  <pageMargins left="0.75" right="0.75" top="1" bottom="1" header="0.5" footer="0.5"/>
  <pageSetup fitToHeight="0" fitToWidth="1" horizontalDpi="300" verticalDpi="300" orientation="portrait" scale="46" r:id="rId14"/>
  <headerFooter alignWithMargins="0">
    <oddHeader>&amp;C&amp;A</oddHeader>
  </headerFooter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http://www.damonrinard.com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 Mail - drinard@yahoo.com</dc:title>
  <dc:subject>Calculate spoke lengths of wire wheels of all kinds</dc:subject>
  <dc:creator>Damon Rinard</dc:creator>
  <cp:keywords/>
  <dc:description/>
  <cp:lastModifiedBy>John</cp:lastModifiedBy>
  <cp:lastPrinted>2005-01-01T15:23:58Z</cp:lastPrinted>
  <dcterms:created xsi:type="dcterms:W3CDTF">2002-01-04T04:37:50Z</dcterms:created>
  <dcterms:modified xsi:type="dcterms:W3CDTF">2016-12-26T04:11:24Z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1443442912</vt:i4>
  </property>
  <property fmtid="{D5CDD505-2E9C-101B-9397-08002B2CF9AE}" pid="3" name="_EmailSubject">
    <vt:lpwstr>spocalc.xls</vt:lpwstr>
  </property>
  <property fmtid="{D5CDD505-2E9C-101B-9397-08002B2CF9AE}" pid="4" name="_AuthorEmail">
    <vt:lpwstr>Damon_Rinard@trekbikes.com</vt:lpwstr>
  </property>
  <property fmtid="{D5CDD505-2E9C-101B-9397-08002B2CF9AE}" pid="5" name="_AuthorEmailDisplayName">
    <vt:lpwstr>Rinard, Damon</vt:lpwstr>
  </property>
  <property fmtid="{D5CDD505-2E9C-101B-9397-08002B2CF9AE}" pid="6" name="_ReviewingToolsShownOnce">
    <vt:lpwstr/>
  </property>
</Properties>
</file>